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bookViews>
  <sheets>
    <sheet name="ведомств. стр. 2025-2027" sheetId="1" r:id="rId1"/>
    <sheet name="Цст.+Видр" sheetId="6" r:id="rId2"/>
    <sheet name="Разд.+подраз" sheetId="2" r:id="rId3"/>
    <sheet name="муниц. программы" sheetId="7" r:id="rId4"/>
  </sheets>
  <definedNames>
    <definedName name="_xlnm._FilterDatabase" localSheetId="0" hidden="1">'ведомств. стр. 2025-2027'!$E$2:$E$1209</definedName>
    <definedName name="_xlnm._FilterDatabase" localSheetId="2" hidden="1">'Разд.+подраз'!$A$18:$D$62</definedName>
    <definedName name="_xlnm._FilterDatabase" localSheetId="1" hidden="1">'Цст.+Видр'!$A$3:$A$1487</definedName>
    <definedName name="_xlnm.Print_Titles" localSheetId="0">'ведомств. стр. 2025-2027'!$18:$18</definedName>
    <definedName name="_xlnm.Print_Titles" localSheetId="3">'муниц. программы'!$18:$18</definedName>
    <definedName name="_xlnm.Print_Titles" localSheetId="2">'Разд.+подраз'!$18:$18</definedName>
    <definedName name="_xlnm.Print_Titles" localSheetId="1">'Цст.+Видр'!$20:$20</definedName>
    <definedName name="_xlnm.Print_Area" localSheetId="0">'ведомств. стр. 2025-2027'!$A$1:$I$1035</definedName>
    <definedName name="_xlnm.Print_Area" localSheetId="3">'муниц. программы'!$A$1:$F$68</definedName>
    <definedName name="_xlnm.Print_Area" localSheetId="2">'Разд.+подраз'!$A$1:$F$62</definedName>
    <definedName name="_xlnm.Print_Area" localSheetId="1">'Цст.+Видр'!$A$1:$F$813</definedName>
  </definedNames>
  <calcPr calcId="145621"/>
</workbook>
</file>

<file path=xl/calcChain.xml><?xml version="1.0" encoding="utf-8"?>
<calcChain xmlns="http://schemas.openxmlformats.org/spreadsheetml/2006/main">
  <c r="G157" i="1" l="1"/>
  <c r="G51" i="1"/>
  <c r="G49" i="1"/>
  <c r="J18" i="1"/>
  <c r="H40" i="7" l="1"/>
  <c r="I40" i="7"/>
  <c r="G40" i="7"/>
  <c r="E789" i="6"/>
  <c r="F789" i="6"/>
  <c r="E351" i="6"/>
  <c r="F351" i="6"/>
  <c r="E352" i="6"/>
  <c r="F352" i="6"/>
  <c r="D352" i="6"/>
  <c r="D351" i="6"/>
  <c r="E350" i="6"/>
  <c r="F350" i="6"/>
  <c r="D350" i="6"/>
  <c r="E45" i="2"/>
  <c r="F45" i="2"/>
  <c r="D45" i="2"/>
  <c r="H974" i="1"/>
  <c r="I974" i="1"/>
  <c r="G974" i="1"/>
  <c r="H916" i="1"/>
  <c r="I916" i="1"/>
  <c r="H893" i="1"/>
  <c r="I893" i="1"/>
  <c r="H581" i="1"/>
  <c r="I581" i="1"/>
  <c r="G124" i="1" l="1"/>
  <c r="G83" i="1"/>
  <c r="G200" i="1" l="1"/>
  <c r="G197" i="1"/>
  <c r="G182" i="1" l="1"/>
  <c r="E809" i="6" l="1"/>
  <c r="E808" i="6" s="1"/>
  <c r="F809" i="6"/>
  <c r="F808" i="6" s="1"/>
  <c r="D809" i="6"/>
  <c r="D808" i="6" s="1"/>
  <c r="H716" i="1"/>
  <c r="H715" i="1" s="1"/>
  <c r="I716" i="1"/>
  <c r="I715" i="1" s="1"/>
  <c r="G716" i="1"/>
  <c r="G715" i="1" s="1"/>
  <c r="G975" i="1"/>
  <c r="G53" i="1" l="1"/>
  <c r="F251" i="6" l="1"/>
  <c r="E251" i="6"/>
  <c r="G62" i="1"/>
  <c r="I55" i="1"/>
  <c r="H55" i="1"/>
  <c r="G41" i="1"/>
  <c r="G816" i="1"/>
  <c r="G572" i="1" l="1"/>
  <c r="H695" i="1"/>
  <c r="G357" i="1"/>
  <c r="G355" i="1"/>
  <c r="G351" i="1"/>
  <c r="G137" i="1"/>
  <c r="G113" i="1"/>
  <c r="G166" i="1"/>
  <c r="G81" i="1"/>
  <c r="G945" i="1"/>
  <c r="H996" i="1" l="1"/>
  <c r="H994" i="1"/>
  <c r="H950" i="1"/>
  <c r="H947" i="1"/>
  <c r="H937" i="1"/>
  <c r="H933" i="1"/>
  <c r="H931" i="1"/>
  <c r="H929" i="1"/>
  <c r="H867" i="1"/>
  <c r="G644" i="1"/>
  <c r="G641" i="1"/>
  <c r="G131" i="1"/>
  <c r="L18" i="1"/>
  <c r="K18" i="1"/>
  <c r="G872" i="1" l="1"/>
  <c r="G871" i="1"/>
  <c r="G947" i="1"/>
  <c r="G896" i="1"/>
  <c r="G142" i="1"/>
  <c r="G141" i="1"/>
  <c r="I994" i="1"/>
  <c r="G857" i="1"/>
  <c r="G305" i="1" l="1"/>
  <c r="E793" i="6"/>
  <c r="F793" i="6"/>
  <c r="D793" i="6"/>
  <c r="H698" i="1"/>
  <c r="I698" i="1"/>
  <c r="G698" i="1"/>
  <c r="G582" i="1"/>
  <c r="G581" i="1" s="1"/>
  <c r="G152" i="1" l="1"/>
  <c r="G139" i="1"/>
  <c r="E299" i="6" l="1"/>
  <c r="F299" i="6"/>
  <c r="D299" i="6"/>
  <c r="H366" i="1"/>
  <c r="I366" i="1"/>
  <c r="G367" i="1"/>
  <c r="G366" i="1" s="1"/>
  <c r="G299" i="1"/>
  <c r="G297" i="1"/>
  <c r="G75" i="1"/>
  <c r="G1015" i="1" l="1"/>
  <c r="G1009" i="1"/>
  <c r="G486" i="1" l="1"/>
  <c r="G485" i="1"/>
  <c r="G146" i="1"/>
  <c r="G145" i="1"/>
  <c r="G210" i="1"/>
  <c r="G99" i="1"/>
  <c r="G85" i="1"/>
  <c r="G133" i="1"/>
  <c r="G77" i="1"/>
  <c r="G110" i="1"/>
  <c r="G259" i="1"/>
  <c r="G994" i="1" l="1"/>
  <c r="G937" i="1"/>
  <c r="G952" i="1"/>
  <c r="G950" i="1"/>
  <c r="G969" i="1"/>
  <c r="G867" i="1"/>
  <c r="G243" i="1"/>
  <c r="H112" i="1"/>
  <c r="H111" i="1" s="1"/>
  <c r="I112" i="1"/>
  <c r="I111" i="1" s="1"/>
  <c r="G112" i="1"/>
  <c r="G111" i="1" s="1"/>
  <c r="G643" i="1"/>
  <c r="E628" i="6"/>
  <c r="E627" i="6" s="1"/>
  <c r="F628" i="6"/>
  <c r="F627" i="6" s="1"/>
  <c r="D628" i="6"/>
  <c r="D627" i="6" s="1"/>
  <c r="H589" i="1"/>
  <c r="I589" i="1"/>
  <c r="G589" i="1"/>
  <c r="G985" i="1" l="1"/>
  <c r="G966" i="1"/>
  <c r="G996" i="1" l="1"/>
  <c r="G894" i="1"/>
  <c r="G893" i="1" s="1"/>
  <c r="G874" i="1"/>
  <c r="E454" i="6" l="1"/>
  <c r="F454" i="6"/>
  <c r="D454" i="6"/>
  <c r="G899" i="1"/>
  <c r="G875" i="1"/>
  <c r="I883" i="1" l="1"/>
  <c r="H883" i="1"/>
  <c r="G883" i="1"/>
  <c r="I875" i="1"/>
  <c r="H875" i="1"/>
  <c r="I874" i="1"/>
  <c r="H874" i="1"/>
  <c r="I871" i="1"/>
  <c r="H871" i="1"/>
  <c r="G933" i="1"/>
  <c r="E468" i="6"/>
  <c r="E467" i="6" s="1"/>
  <c r="F468" i="6"/>
  <c r="F467" i="6" s="1"/>
  <c r="E466" i="6"/>
  <c r="E465" i="6" s="1"/>
  <c r="F466" i="6"/>
  <c r="F465" i="6" s="1"/>
  <c r="D468" i="6"/>
  <c r="D467" i="6" s="1"/>
  <c r="D466" i="6"/>
  <c r="D465" i="6" s="1"/>
  <c r="H913" i="1"/>
  <c r="I913" i="1"/>
  <c r="H911" i="1"/>
  <c r="I911" i="1"/>
  <c r="G913" i="1"/>
  <c r="G911" i="1"/>
  <c r="G910" i="1"/>
  <c r="G908" i="1"/>
  <c r="G973" i="1"/>
  <c r="G917" i="1"/>
  <c r="G916" i="1" s="1"/>
  <c r="E423" i="6"/>
  <c r="F423" i="6"/>
  <c r="D423" i="6"/>
  <c r="H936" i="1"/>
  <c r="I936" i="1"/>
  <c r="E471" i="6"/>
  <c r="E470" i="6" s="1"/>
  <c r="F471" i="6"/>
  <c r="F470" i="6" s="1"/>
  <c r="D471" i="6"/>
  <c r="D470" i="6" s="1"/>
  <c r="H945" i="1"/>
  <c r="E514" i="6"/>
  <c r="E513" i="6" s="1"/>
  <c r="F514" i="6"/>
  <c r="F513" i="6" s="1"/>
  <c r="D514" i="6"/>
  <c r="D513" i="6" s="1"/>
  <c r="E782" i="6"/>
  <c r="E781" i="6" s="1"/>
  <c r="F782" i="6"/>
  <c r="F781" i="6" s="1"/>
  <c r="D782" i="6"/>
  <c r="D781" i="6" s="1"/>
  <c r="G936" i="1"/>
  <c r="G931" i="1"/>
  <c r="H887" i="1"/>
  <c r="H886" i="1" s="1"/>
  <c r="H885" i="1" s="1"/>
  <c r="I887" i="1"/>
  <c r="I886" i="1" s="1"/>
  <c r="I885" i="1" s="1"/>
  <c r="G887" i="1"/>
  <c r="G886" i="1" s="1"/>
  <c r="G885" i="1" s="1"/>
  <c r="G861" i="1"/>
  <c r="G785" i="1"/>
  <c r="G642" i="1"/>
  <c r="G640" i="1" s="1"/>
  <c r="E525" i="6"/>
  <c r="E524" i="6" s="1"/>
  <c r="F525" i="6"/>
  <c r="F524" i="6" s="1"/>
  <c r="D525" i="6"/>
  <c r="D524" i="6" s="1"/>
  <c r="H728" i="1"/>
  <c r="I728" i="1"/>
  <c r="G728" i="1"/>
  <c r="G727" i="1"/>
  <c r="G725" i="1"/>
  <c r="G723" i="1"/>
  <c r="E719" i="6"/>
  <c r="F719" i="6"/>
  <c r="D719" i="6"/>
  <c r="H640" i="1"/>
  <c r="I640" i="1"/>
  <c r="G813" i="1"/>
  <c r="G809" i="1"/>
  <c r="E635" i="6"/>
  <c r="E634" i="6" s="1"/>
  <c r="F635" i="6"/>
  <c r="F634" i="6" s="1"/>
  <c r="D635" i="6"/>
  <c r="D634" i="6" s="1"/>
  <c r="E640" i="6"/>
  <c r="E639" i="6" s="1"/>
  <c r="F640" i="6"/>
  <c r="F639" i="6" s="1"/>
  <c r="D640" i="6"/>
  <c r="D639" i="6" s="1"/>
  <c r="H571" i="1"/>
  <c r="I571" i="1"/>
  <c r="G571" i="1"/>
  <c r="J507" i="1"/>
  <c r="G507" i="1"/>
  <c r="D580" i="6" s="1"/>
  <c r="D579" i="6" s="1"/>
  <c r="D578" i="6" s="1"/>
  <c r="J503" i="1"/>
  <c r="G503" i="1"/>
  <c r="G502" i="1" s="1"/>
  <c r="E580" i="6"/>
  <c r="E579" i="6" s="1"/>
  <c r="E578" i="6" s="1"/>
  <c r="F580" i="6"/>
  <c r="F579" i="6" s="1"/>
  <c r="F578" i="6" s="1"/>
  <c r="H506" i="1"/>
  <c r="H505" i="1" s="1"/>
  <c r="I506" i="1"/>
  <c r="I505" i="1" s="1"/>
  <c r="J510" i="1"/>
  <c r="G510" i="1"/>
  <c r="E576" i="6"/>
  <c r="E575" i="6" s="1"/>
  <c r="F576" i="6"/>
  <c r="F575" i="6" s="1"/>
  <c r="H502" i="1"/>
  <c r="I502" i="1"/>
  <c r="G501" i="1"/>
  <c r="E295" i="6"/>
  <c r="E294" i="6" s="1"/>
  <c r="E293" i="6" s="1"/>
  <c r="F295" i="6"/>
  <c r="F294" i="6" s="1"/>
  <c r="F293" i="6" s="1"/>
  <c r="D295" i="6"/>
  <c r="D294" i="6" s="1"/>
  <c r="D293" i="6" s="1"/>
  <c r="H363" i="1"/>
  <c r="H362" i="1" s="1"/>
  <c r="I363" i="1"/>
  <c r="I362" i="1" s="1"/>
  <c r="G363" i="1"/>
  <c r="G362" i="1" s="1"/>
  <c r="I239" i="1"/>
  <c r="I238" i="1" s="1"/>
  <c r="I361" i="1"/>
  <c r="H361" i="1"/>
  <c r="G361" i="1"/>
  <c r="I349" i="1"/>
  <c r="H349" i="1"/>
  <c r="G349" i="1"/>
  <c r="I345" i="1"/>
  <c r="H345" i="1"/>
  <c r="G345" i="1"/>
  <c r="I330" i="1"/>
  <c r="H330" i="1"/>
  <c r="G330" i="1"/>
  <c r="E202" i="6"/>
  <c r="E201" i="6" s="1"/>
  <c r="E200" i="6" s="1"/>
  <c r="F202" i="6"/>
  <c r="F201" i="6" s="1"/>
  <c r="F200" i="6" s="1"/>
  <c r="D202" i="6"/>
  <c r="D201" i="6" s="1"/>
  <c r="D200" i="6" s="1"/>
  <c r="E196" i="6"/>
  <c r="F196" i="6"/>
  <c r="D196" i="6"/>
  <c r="H245" i="1"/>
  <c r="H244" i="1" s="1"/>
  <c r="I245" i="1"/>
  <c r="I244" i="1" s="1"/>
  <c r="G245" i="1"/>
  <c r="G244" i="1" s="1"/>
  <c r="G239" i="1"/>
  <c r="G238" i="1" s="1"/>
  <c r="H239" i="1"/>
  <c r="H238" i="1" s="1"/>
  <c r="I221" i="1"/>
  <c r="H221" i="1"/>
  <c r="G221" i="1"/>
  <c r="E784" i="6"/>
  <c r="E783" i="6" s="1"/>
  <c r="F784" i="6"/>
  <c r="F783" i="6" s="1"/>
  <c r="D784" i="6"/>
  <c r="D783" i="6" s="1"/>
  <c r="H248" i="1"/>
  <c r="H247" i="1" s="1"/>
  <c r="I248" i="1"/>
  <c r="I247" i="1" s="1"/>
  <c r="G248" i="1"/>
  <c r="G247" i="1" s="1"/>
  <c r="G302" i="1"/>
  <c r="G106" i="1"/>
  <c r="E192" i="6"/>
  <c r="E191" i="6" s="1"/>
  <c r="F192" i="6"/>
  <c r="F191" i="6" s="1"/>
  <c r="D192" i="6"/>
  <c r="D191" i="6" s="1"/>
  <c r="E89" i="6"/>
  <c r="E88" i="6" s="1"/>
  <c r="F89" i="6"/>
  <c r="F88" i="6" s="1"/>
  <c r="D89" i="6"/>
  <c r="D88" i="6" s="1"/>
  <c r="H235" i="1"/>
  <c r="I235" i="1"/>
  <c r="G235" i="1"/>
  <c r="H95" i="1"/>
  <c r="H92" i="1" s="1"/>
  <c r="I95" i="1"/>
  <c r="I92" i="1" s="1"/>
  <c r="G95" i="1"/>
  <c r="D576" i="6" l="1"/>
  <c r="D575" i="6" s="1"/>
  <c r="G506" i="1"/>
  <c r="G505" i="1" s="1"/>
  <c r="I189" i="1"/>
  <c r="H189" i="1"/>
  <c r="G189" i="1"/>
  <c r="I166" i="1"/>
  <c r="H166" i="1"/>
  <c r="G122" i="1"/>
  <c r="I169" i="1" l="1"/>
  <c r="H169" i="1"/>
  <c r="G169" i="1"/>
  <c r="E208" i="6"/>
  <c r="F208" i="6"/>
  <c r="D208" i="6"/>
  <c r="G265" i="1"/>
  <c r="G264" i="1" s="1"/>
  <c r="I173" i="1"/>
  <c r="G154" i="1"/>
  <c r="D251" i="6"/>
  <c r="D786" i="6" l="1"/>
  <c r="D788" i="6"/>
  <c r="E786" i="6"/>
  <c r="F786" i="6"/>
  <c r="H211" i="1"/>
  <c r="I211" i="1"/>
  <c r="G211" i="1"/>
  <c r="G179" i="1"/>
  <c r="E250" i="6"/>
  <c r="E249" i="6" s="1"/>
  <c r="F250" i="6"/>
  <c r="F249" i="6" s="1"/>
  <c r="D250" i="6"/>
  <c r="D249" i="6" s="1"/>
  <c r="H199" i="1"/>
  <c r="H198" i="1" s="1"/>
  <c r="I199" i="1"/>
  <c r="I198" i="1" s="1"/>
  <c r="G199" i="1"/>
  <c r="G198" i="1" s="1"/>
  <c r="H106" i="1"/>
  <c r="I106" i="1"/>
  <c r="I77" i="1"/>
  <c r="H77" i="1"/>
  <c r="G293" i="1"/>
  <c r="G229" i="1"/>
  <c r="G223" i="1"/>
  <c r="H121" i="1" l="1"/>
  <c r="I121" i="1"/>
  <c r="G121" i="1"/>
  <c r="G33" i="1"/>
  <c r="G32" i="1"/>
  <c r="G588" i="1"/>
  <c r="E39" i="6"/>
  <c r="E38" i="6" s="1"/>
  <c r="E37" i="6" s="1"/>
  <c r="E36" i="6" s="1"/>
  <c r="F39" i="6"/>
  <c r="F38" i="6" s="1"/>
  <c r="F37" i="6" s="1"/>
  <c r="F36" i="6" s="1"/>
  <c r="D39" i="6"/>
  <c r="D38" i="6" s="1"/>
  <c r="D37" i="6" s="1"/>
  <c r="D36" i="6" s="1"/>
  <c r="H713" i="1"/>
  <c r="H712" i="1" s="1"/>
  <c r="H711" i="1" s="1"/>
  <c r="I713" i="1"/>
  <c r="I712" i="1" s="1"/>
  <c r="I711" i="1" s="1"/>
  <c r="G713" i="1"/>
  <c r="G712" i="1" s="1"/>
  <c r="G711" i="1" s="1"/>
  <c r="E509" i="6"/>
  <c r="F509" i="6"/>
  <c r="D509" i="6"/>
  <c r="E324" i="6"/>
  <c r="E323" i="6" s="1"/>
  <c r="E322" i="6" s="1"/>
  <c r="E321" i="6" s="1"/>
  <c r="F324" i="6"/>
  <c r="F323" i="6" s="1"/>
  <c r="F322" i="6" s="1"/>
  <c r="F321" i="6" s="1"/>
  <c r="D324" i="6"/>
  <c r="D323" i="6" s="1"/>
  <c r="D322" i="6" s="1"/>
  <c r="D321" i="6" s="1"/>
  <c r="E450" i="6"/>
  <c r="E449" i="6" s="1"/>
  <c r="F450" i="6"/>
  <c r="F449" i="6" s="1"/>
  <c r="D450" i="6"/>
  <c r="D449" i="6" s="1"/>
  <c r="H968" i="1" l="1"/>
  <c r="H967" i="1" s="1"/>
  <c r="I968" i="1"/>
  <c r="I967" i="1" s="1"/>
  <c r="G968" i="1"/>
  <c r="G967" i="1" s="1"/>
  <c r="G963" i="1"/>
  <c r="H923" i="1"/>
  <c r="H922" i="1" s="1"/>
  <c r="H921" i="1" s="1"/>
  <c r="H920" i="1" s="1"/>
  <c r="H919" i="1" s="1"/>
  <c r="E39" i="7" s="1"/>
  <c r="I923" i="1"/>
  <c r="I922" i="1" s="1"/>
  <c r="I921" i="1" s="1"/>
  <c r="I920" i="1" s="1"/>
  <c r="I919" i="1" s="1"/>
  <c r="F39" i="7" s="1"/>
  <c r="G923" i="1"/>
  <c r="G922" i="1" s="1"/>
  <c r="G921" i="1" s="1"/>
  <c r="G920" i="1" s="1"/>
  <c r="G919" i="1" s="1"/>
  <c r="D39" i="7" s="1"/>
  <c r="H895" i="1"/>
  <c r="I895" i="1"/>
  <c r="G895" i="1"/>
  <c r="E247" i="6"/>
  <c r="F247" i="6"/>
  <c r="D247" i="6"/>
  <c r="H195" i="1"/>
  <c r="I195" i="1"/>
  <c r="G195" i="1"/>
  <c r="G168" i="1"/>
  <c r="G165" i="1"/>
  <c r="D778" i="6"/>
  <c r="G549" i="1"/>
  <c r="G537" i="1"/>
  <c r="E563" i="6"/>
  <c r="F563" i="6"/>
  <c r="D563" i="6"/>
  <c r="G491" i="1"/>
  <c r="G489" i="1" s="1"/>
  <c r="H489" i="1"/>
  <c r="I489" i="1"/>
  <c r="E751" i="6"/>
  <c r="F751" i="6"/>
  <c r="D751" i="6"/>
  <c r="H821" i="1"/>
  <c r="H820" i="1" s="1"/>
  <c r="H819" i="1" s="1"/>
  <c r="I821" i="1"/>
  <c r="I820" i="1" s="1"/>
  <c r="I819" i="1" s="1"/>
  <c r="G821" i="1"/>
  <c r="G820" i="1" s="1"/>
  <c r="G819" i="1" s="1"/>
  <c r="E190" i="6" l="1"/>
  <c r="E189" i="6" s="1"/>
  <c r="E188" i="6" s="1"/>
  <c r="F190" i="6"/>
  <c r="F189" i="6" s="1"/>
  <c r="F188" i="6" s="1"/>
  <c r="D190" i="6"/>
  <c r="D189" i="6" s="1"/>
  <c r="D188" i="6" s="1"/>
  <c r="E87" i="6"/>
  <c r="E86" i="6" s="1"/>
  <c r="E85" i="6" s="1"/>
  <c r="F87" i="6"/>
  <c r="F86" i="6" s="1"/>
  <c r="F85" i="6" s="1"/>
  <c r="D87" i="6"/>
  <c r="D86" i="6" s="1"/>
  <c r="D85" i="6" s="1"/>
  <c r="H233" i="1"/>
  <c r="H232" i="1" s="1"/>
  <c r="I233" i="1"/>
  <c r="I232" i="1" s="1"/>
  <c r="G233" i="1"/>
  <c r="G232" i="1" s="1"/>
  <c r="G93" i="1" l="1"/>
  <c r="G92" i="1" s="1"/>
  <c r="I760" i="1" l="1"/>
  <c r="I759" i="1"/>
  <c r="H760" i="1"/>
  <c r="H759" i="1"/>
  <c r="H761" i="1"/>
  <c r="H758" i="1" s="1"/>
  <c r="H757" i="1" s="1"/>
  <c r="H756" i="1" s="1"/>
  <c r="I761" i="1"/>
  <c r="G761" i="1"/>
  <c r="G760" i="1"/>
  <c r="G759" i="1"/>
  <c r="G758" i="1" s="1"/>
  <c r="G757" i="1" s="1"/>
  <c r="G756" i="1" s="1"/>
  <c r="I758" i="1" l="1"/>
  <c r="I757" i="1" s="1"/>
  <c r="I756" i="1" s="1"/>
  <c r="E437" i="6" l="1"/>
  <c r="E436" i="6" s="1"/>
  <c r="F437" i="6"/>
  <c r="F436" i="6" s="1"/>
  <c r="D437" i="6"/>
  <c r="D436" i="6" s="1"/>
  <c r="H951" i="1"/>
  <c r="I951" i="1"/>
  <c r="G951" i="1"/>
  <c r="G695" i="1"/>
  <c r="E309" i="6" l="1"/>
  <c r="E308" i="6" s="1"/>
  <c r="E307" i="6" s="1"/>
  <c r="F309" i="6"/>
  <c r="F308" i="6" s="1"/>
  <c r="F307" i="6" s="1"/>
  <c r="D309" i="6"/>
  <c r="D308" i="6" s="1"/>
  <c r="D307" i="6" s="1"/>
  <c r="H372" i="1"/>
  <c r="H371" i="1" s="1"/>
  <c r="I372" i="1"/>
  <c r="I371" i="1" s="1"/>
  <c r="G372" i="1"/>
  <c r="G371" i="1" s="1"/>
  <c r="E453" i="6" l="1"/>
  <c r="F453" i="6"/>
  <c r="D453" i="6"/>
  <c r="E813" i="6" l="1"/>
  <c r="E812" i="6" s="1"/>
  <c r="F813" i="6"/>
  <c r="F812" i="6" s="1"/>
  <c r="D813" i="6"/>
  <c r="D812" i="6" s="1"/>
  <c r="H977" i="1"/>
  <c r="H976" i="1" s="1"/>
  <c r="I977" i="1"/>
  <c r="I976" i="1" s="1"/>
  <c r="G977" i="1"/>
  <c r="G976" i="1" s="1"/>
  <c r="E811" i="6" l="1"/>
  <c r="E810" i="6" s="1"/>
  <c r="F811" i="6"/>
  <c r="F810" i="6" s="1"/>
  <c r="D811" i="6"/>
  <c r="D810" i="6" s="1"/>
  <c r="H703" i="1"/>
  <c r="I703" i="1"/>
  <c r="G703" i="1"/>
  <c r="G701" i="1"/>
  <c r="E532" i="6"/>
  <c r="E531" i="6" s="1"/>
  <c r="E530" i="6" s="1"/>
  <c r="F532" i="6"/>
  <c r="F531" i="6" s="1"/>
  <c r="F530" i="6" s="1"/>
  <c r="D532" i="6"/>
  <c r="D531" i="6" s="1"/>
  <c r="D530" i="6" s="1"/>
  <c r="H735" i="1"/>
  <c r="H734" i="1" s="1"/>
  <c r="I735" i="1"/>
  <c r="I734" i="1" s="1"/>
  <c r="G735" i="1"/>
  <c r="G734" i="1" s="1"/>
  <c r="G745" i="1"/>
  <c r="E303" i="6"/>
  <c r="E302" i="6" s="1"/>
  <c r="F303" i="6"/>
  <c r="F302" i="6" s="1"/>
  <c r="D303" i="6"/>
  <c r="D302" i="6" s="1"/>
  <c r="I776" i="1"/>
  <c r="I775" i="1" s="1"/>
  <c r="H776" i="1"/>
  <c r="H775" i="1" s="1"/>
  <c r="G776" i="1"/>
  <c r="G775" i="1" s="1"/>
  <c r="G359" i="1"/>
  <c r="G370" i="1"/>
  <c r="E399" i="6" l="1"/>
  <c r="F399" i="6"/>
  <c r="D399" i="6"/>
  <c r="G870" i="1"/>
  <c r="E243" i="6" l="1"/>
  <c r="E242" i="6" s="1"/>
  <c r="E241" i="6" s="1"/>
  <c r="F243" i="6"/>
  <c r="F242" i="6" s="1"/>
  <c r="F241" i="6" s="1"/>
  <c r="D243" i="6"/>
  <c r="D242" i="6" s="1"/>
  <c r="D241" i="6" s="1"/>
  <c r="H301" i="1"/>
  <c r="H300" i="1" s="1"/>
  <c r="I301" i="1"/>
  <c r="I300" i="1" s="1"/>
  <c r="G301" i="1"/>
  <c r="G300" i="1" s="1"/>
  <c r="F165" i="6" l="1"/>
  <c r="F166" i="6"/>
  <c r="E512" i="6" l="1"/>
  <c r="E511" i="6" s="1"/>
  <c r="F512" i="6"/>
  <c r="F511" i="6" s="1"/>
  <c r="D512" i="6"/>
  <c r="D511" i="6" s="1"/>
  <c r="D510" i="6" s="1"/>
  <c r="E410" i="6"/>
  <c r="F410" i="6"/>
  <c r="D410" i="6"/>
  <c r="E401" i="6"/>
  <c r="F401" i="6"/>
  <c r="E402" i="6"/>
  <c r="F402" i="6"/>
  <c r="D402" i="6"/>
  <c r="D401" i="6"/>
  <c r="H972" i="1"/>
  <c r="H971" i="1" s="1"/>
  <c r="I972" i="1"/>
  <c r="I971" i="1" s="1"/>
  <c r="G972" i="1"/>
  <c r="H882" i="1"/>
  <c r="H881" i="1" s="1"/>
  <c r="I882" i="1"/>
  <c r="I881" i="1" s="1"/>
  <c r="G882" i="1"/>
  <c r="G881" i="1" s="1"/>
  <c r="H873" i="1"/>
  <c r="I873" i="1"/>
  <c r="G873" i="1"/>
  <c r="D400" i="6" l="1"/>
  <c r="F510" i="6"/>
  <c r="G971" i="1"/>
  <c r="E510" i="6"/>
  <c r="E400" i="6"/>
  <c r="F400" i="6"/>
  <c r="E638" i="6"/>
  <c r="E637" i="6" s="1"/>
  <c r="E636" i="6" s="1"/>
  <c r="F638" i="6"/>
  <c r="F637" i="6" s="1"/>
  <c r="F636" i="6" s="1"/>
  <c r="D638" i="6"/>
  <c r="D637" i="6" s="1"/>
  <c r="D636" i="6" s="1"/>
  <c r="H580" i="1"/>
  <c r="H579" i="1" s="1"/>
  <c r="I580" i="1"/>
  <c r="I579" i="1" s="1"/>
  <c r="G580" i="1"/>
  <c r="G579" i="1" s="1"/>
  <c r="H569" i="1"/>
  <c r="I569" i="1"/>
  <c r="G569" i="1"/>
  <c r="G568" i="1" l="1"/>
  <c r="G567" i="1" s="1"/>
  <c r="G566" i="1" s="1"/>
  <c r="H568" i="1"/>
  <c r="H567" i="1" s="1"/>
  <c r="H566" i="1" s="1"/>
  <c r="I568" i="1"/>
  <c r="I567" i="1" s="1"/>
  <c r="I566" i="1" s="1"/>
  <c r="F633" i="6"/>
  <c r="F632" i="6" s="1"/>
  <c r="D633" i="6"/>
  <c r="D632" i="6" s="1"/>
  <c r="E633" i="6"/>
  <c r="E632" i="6" s="1"/>
  <c r="D169" i="6"/>
  <c r="E169" i="6"/>
  <c r="F169" i="6"/>
  <c r="E171" i="6"/>
  <c r="F171" i="6"/>
  <c r="E172" i="6"/>
  <c r="F172" i="6"/>
  <c r="D172" i="6"/>
  <c r="D171" i="6"/>
  <c r="E168" i="6"/>
  <c r="E167" i="6" s="1"/>
  <c r="F168" i="6"/>
  <c r="F167" i="6" s="1"/>
  <c r="D168" i="6"/>
  <c r="E165" i="6"/>
  <c r="E166" i="6"/>
  <c r="D166" i="6"/>
  <c r="D165" i="6"/>
  <c r="E162" i="6"/>
  <c r="E161" i="6" s="1"/>
  <c r="E160" i="6" s="1"/>
  <c r="F162" i="6"/>
  <c r="F161" i="6" s="1"/>
  <c r="F160" i="6" s="1"/>
  <c r="D162" i="6"/>
  <c r="D161" i="6" s="1"/>
  <c r="D160" i="6" s="1"/>
  <c r="H190" i="1"/>
  <c r="I190" i="1"/>
  <c r="G190" i="1"/>
  <c r="H187" i="1"/>
  <c r="I187" i="1"/>
  <c r="G187" i="1"/>
  <c r="H184" i="1"/>
  <c r="I184" i="1"/>
  <c r="G184" i="1"/>
  <c r="I181" i="1"/>
  <c r="I180" i="1" s="1"/>
  <c r="H181" i="1"/>
  <c r="H180" i="1" s="1"/>
  <c r="G181" i="1"/>
  <c r="G180" i="1" s="1"/>
  <c r="I261" i="1"/>
  <c r="H261" i="1"/>
  <c r="I183" i="1" l="1"/>
  <c r="G183" i="1"/>
  <c r="H183" i="1"/>
  <c r="D170" i="6"/>
  <c r="D164" i="6"/>
  <c r="D167" i="6"/>
  <c r="F164" i="6"/>
  <c r="E170" i="6"/>
  <c r="E164" i="6"/>
  <c r="F170" i="6"/>
  <c r="D163" i="6" l="1"/>
  <c r="E163" i="6"/>
  <c r="F163" i="6"/>
  <c r="E758" i="6" l="1"/>
  <c r="F758" i="6"/>
  <c r="D758" i="6"/>
  <c r="I304" i="1"/>
  <c r="I303" i="1" s="1"/>
  <c r="H304" i="1"/>
  <c r="H303" i="1" s="1"/>
  <c r="G304" i="1"/>
  <c r="G303" i="1" s="1"/>
  <c r="H870" i="1" l="1"/>
  <c r="H869" i="1" s="1"/>
  <c r="I870" i="1"/>
  <c r="I869" i="1" s="1"/>
  <c r="G869" i="1"/>
  <c r="H856" i="1"/>
  <c r="H855" i="1" s="1"/>
  <c r="I856" i="1"/>
  <c r="I855" i="1" s="1"/>
  <c r="H264" i="1"/>
  <c r="I264" i="1"/>
  <c r="E444" i="6" l="1"/>
  <c r="E443" i="6" s="1"/>
  <c r="F444" i="6"/>
  <c r="F443" i="6" s="1"/>
  <c r="D444" i="6"/>
  <c r="D443" i="6" s="1"/>
  <c r="H958" i="1"/>
  <c r="I958" i="1"/>
  <c r="G958" i="1"/>
  <c r="H915" i="1"/>
  <c r="I915" i="1"/>
  <c r="G915" i="1"/>
  <c r="E142" i="6"/>
  <c r="F142" i="6"/>
  <c r="D142" i="6"/>
  <c r="E101" i="6"/>
  <c r="E100" i="6" s="1"/>
  <c r="E99" i="6" s="1"/>
  <c r="F101" i="6"/>
  <c r="F100" i="6" s="1"/>
  <c r="F99" i="6" s="1"/>
  <c r="D101" i="6"/>
  <c r="D100" i="6" s="1"/>
  <c r="D99" i="6" s="1"/>
  <c r="H105" i="1"/>
  <c r="H104" i="1" s="1"/>
  <c r="I105" i="1"/>
  <c r="I104" i="1" s="1"/>
  <c r="G105" i="1"/>
  <c r="G104" i="1" s="1"/>
  <c r="F469" i="6" l="1"/>
  <c r="D469" i="6"/>
  <c r="E469" i="6"/>
  <c r="E255" i="6" l="1"/>
  <c r="F255" i="6"/>
  <c r="D255" i="6"/>
  <c r="H656" i="1"/>
  <c r="H655" i="1" s="1"/>
  <c r="I656" i="1"/>
  <c r="I655" i="1" s="1"/>
  <c r="G656" i="1"/>
  <c r="G655" i="1" s="1"/>
  <c r="G654" i="1" s="1"/>
  <c r="E796" i="6" l="1"/>
  <c r="F796" i="6"/>
  <c r="E797" i="6"/>
  <c r="F797" i="6"/>
  <c r="D797" i="6"/>
  <c r="D796" i="6"/>
  <c r="E807" i="6" l="1"/>
  <c r="F807" i="6"/>
  <c r="D807" i="6"/>
  <c r="E805" i="6"/>
  <c r="F805" i="6"/>
  <c r="D805" i="6"/>
  <c r="E803" i="6"/>
  <c r="F803" i="6"/>
  <c r="D803" i="6"/>
  <c r="E801" i="6"/>
  <c r="F801" i="6"/>
  <c r="D801" i="6"/>
  <c r="E799" i="6"/>
  <c r="F799" i="6"/>
  <c r="D799" i="6"/>
  <c r="E794" i="6"/>
  <c r="E792" i="6" s="1"/>
  <c r="F794" i="6"/>
  <c r="F792" i="6" s="1"/>
  <c r="D794" i="6"/>
  <c r="D792" i="6" s="1"/>
  <c r="F718" i="6"/>
  <c r="F720" i="6"/>
  <c r="E718" i="6"/>
  <c r="E720" i="6"/>
  <c r="D720" i="6"/>
  <c r="E780" i="6"/>
  <c r="F780" i="6"/>
  <c r="D780" i="6"/>
  <c r="E770" i="6"/>
  <c r="F770" i="6"/>
  <c r="E771" i="6"/>
  <c r="F771" i="6"/>
  <c r="E772" i="6"/>
  <c r="F772" i="6"/>
  <c r="D771" i="6"/>
  <c r="D772" i="6"/>
  <c r="D770" i="6"/>
  <c r="E778" i="6"/>
  <c r="F778" i="6"/>
  <c r="E788" i="6"/>
  <c r="E787" i="6" s="1"/>
  <c r="F788" i="6"/>
  <c r="F787" i="6" s="1"/>
  <c r="D787" i="6"/>
  <c r="E777" i="6"/>
  <c r="F777" i="6"/>
  <c r="D777" i="6"/>
  <c r="E774" i="6"/>
  <c r="F774" i="6"/>
  <c r="E775" i="6"/>
  <c r="F775" i="6"/>
  <c r="D775" i="6"/>
  <c r="D774" i="6"/>
  <c r="E765" i="6"/>
  <c r="F765" i="6"/>
  <c r="D765" i="6"/>
  <c r="E762" i="6"/>
  <c r="F762" i="6"/>
  <c r="E763" i="6"/>
  <c r="F763" i="6"/>
  <c r="D763" i="6"/>
  <c r="D762" i="6"/>
  <c r="E760" i="6"/>
  <c r="F760" i="6"/>
  <c r="D760" i="6"/>
  <c r="E767" i="6"/>
  <c r="F767" i="6"/>
  <c r="D767" i="6"/>
  <c r="E755" i="6"/>
  <c r="F755" i="6"/>
  <c r="E756" i="6"/>
  <c r="F756" i="6"/>
  <c r="D756" i="6"/>
  <c r="D755" i="6"/>
  <c r="E752" i="6"/>
  <c r="E750" i="6" s="1"/>
  <c r="E749" i="6" s="1"/>
  <c r="F752" i="6"/>
  <c r="F750" i="6" s="1"/>
  <c r="F749" i="6" s="1"/>
  <c r="D752" i="6"/>
  <c r="E747" i="6"/>
  <c r="F747" i="6"/>
  <c r="D747" i="6"/>
  <c r="E745" i="6"/>
  <c r="F745" i="6"/>
  <c r="D745" i="6"/>
  <c r="E743" i="6"/>
  <c r="F743" i="6"/>
  <c r="D743" i="6"/>
  <c r="E741" i="6"/>
  <c r="F741" i="6"/>
  <c r="D741" i="6"/>
  <c r="E740" i="6"/>
  <c r="F740" i="6"/>
  <c r="D740" i="6"/>
  <c r="E738" i="6"/>
  <c r="F738" i="6"/>
  <c r="D738" i="6"/>
  <c r="E736" i="6"/>
  <c r="F736" i="6"/>
  <c r="D736" i="6"/>
  <c r="E733" i="6"/>
  <c r="F733" i="6"/>
  <c r="D733" i="6"/>
  <c r="E727" i="6"/>
  <c r="F727" i="6"/>
  <c r="E728" i="6"/>
  <c r="F728" i="6"/>
  <c r="E729" i="6"/>
  <c r="F729" i="6"/>
  <c r="D729" i="6"/>
  <c r="D728" i="6"/>
  <c r="D727" i="6"/>
  <c r="E724" i="6"/>
  <c r="F724" i="6"/>
  <c r="D724" i="6"/>
  <c r="E717" i="6"/>
  <c r="F717" i="6"/>
  <c r="D718" i="6"/>
  <c r="D717" i="6"/>
  <c r="E713" i="6"/>
  <c r="F713" i="6"/>
  <c r="D713" i="6"/>
  <c r="E707" i="6"/>
  <c r="F707" i="6"/>
  <c r="E708" i="6"/>
  <c r="F708" i="6"/>
  <c r="E709" i="6"/>
  <c r="F709" i="6"/>
  <c r="D708" i="6"/>
  <c r="D709" i="6"/>
  <c r="D707" i="6"/>
  <c r="E704" i="6"/>
  <c r="F704" i="6"/>
  <c r="D704" i="6"/>
  <c r="E701" i="6"/>
  <c r="F701" i="6"/>
  <c r="D701" i="6"/>
  <c r="E697" i="6"/>
  <c r="F697" i="6"/>
  <c r="D697" i="6"/>
  <c r="E695" i="6"/>
  <c r="F695" i="6"/>
  <c r="D695" i="6"/>
  <c r="E691" i="6"/>
  <c r="F691" i="6"/>
  <c r="E692" i="6"/>
  <c r="F692" i="6"/>
  <c r="F690" i="6" s="1"/>
  <c r="D692" i="6"/>
  <c r="D691" i="6"/>
  <c r="F716" i="6" l="1"/>
  <c r="F715" i="6" s="1"/>
  <c r="F714" i="6" s="1"/>
  <c r="D716" i="6"/>
  <c r="E716" i="6"/>
  <c r="E715" i="6" s="1"/>
  <c r="E714" i="6" s="1"/>
  <c r="D750" i="6"/>
  <c r="D749" i="6" s="1"/>
  <c r="E690" i="6"/>
  <c r="D726" i="6"/>
  <c r="D690" i="6"/>
  <c r="E687" i="6"/>
  <c r="F687" i="6"/>
  <c r="D687" i="6"/>
  <c r="E685" i="6"/>
  <c r="F685" i="6"/>
  <c r="D685" i="6"/>
  <c r="E683" i="6"/>
  <c r="F683" i="6"/>
  <c r="D683" i="6"/>
  <c r="E681" i="6"/>
  <c r="F681" i="6"/>
  <c r="D681" i="6"/>
  <c r="E676" i="6"/>
  <c r="F676" i="6"/>
  <c r="E677" i="6"/>
  <c r="F677" i="6"/>
  <c r="D677" i="6"/>
  <c r="D676" i="6"/>
  <c r="E672" i="6"/>
  <c r="F672" i="6"/>
  <c r="D672" i="6"/>
  <c r="E668" i="6"/>
  <c r="F668" i="6"/>
  <c r="D668" i="6"/>
  <c r="E666" i="6"/>
  <c r="F666" i="6"/>
  <c r="D666" i="6"/>
  <c r="E648" i="6"/>
  <c r="F648" i="6"/>
  <c r="D648" i="6"/>
  <c r="E645" i="6"/>
  <c r="F645" i="6"/>
  <c r="E646" i="6"/>
  <c r="F646" i="6"/>
  <c r="D646" i="6"/>
  <c r="D645" i="6"/>
  <c r="E662" i="6"/>
  <c r="F662" i="6"/>
  <c r="D662" i="6"/>
  <c r="E660" i="6"/>
  <c r="F660" i="6"/>
  <c r="D660" i="6"/>
  <c r="E658" i="6"/>
  <c r="E657" i="6" s="1"/>
  <c r="F658" i="6"/>
  <c r="F657" i="6" s="1"/>
  <c r="D658" i="6"/>
  <c r="D657" i="6" s="1"/>
  <c r="E656" i="6"/>
  <c r="F656" i="6"/>
  <c r="D656" i="6"/>
  <c r="E654" i="6"/>
  <c r="F654" i="6"/>
  <c r="D654" i="6"/>
  <c r="E652" i="6"/>
  <c r="F652" i="6"/>
  <c r="D652" i="6"/>
  <c r="E631" i="6"/>
  <c r="F631" i="6"/>
  <c r="D631" i="6"/>
  <c r="E626" i="6"/>
  <c r="F626" i="6"/>
  <c r="E623" i="6"/>
  <c r="F623" i="6"/>
  <c r="D623" i="6"/>
  <c r="E601" i="6"/>
  <c r="F601" i="6"/>
  <c r="E616" i="6"/>
  <c r="F616" i="6"/>
  <c r="D616" i="6"/>
  <c r="E612" i="6"/>
  <c r="F612" i="6"/>
  <c r="D612" i="6"/>
  <c r="E610" i="6"/>
  <c r="F610" i="6"/>
  <c r="D610" i="6"/>
  <c r="E607" i="6"/>
  <c r="F607" i="6"/>
  <c r="D607" i="6"/>
  <c r="E605" i="6"/>
  <c r="F605" i="6"/>
  <c r="D605" i="6"/>
  <c r="E603" i="6"/>
  <c r="F603" i="6"/>
  <c r="D603" i="6"/>
  <c r="D601" i="6"/>
  <c r="E599" i="6"/>
  <c r="F599" i="6"/>
  <c r="D599" i="6"/>
  <c r="E597" i="6"/>
  <c r="F597" i="6"/>
  <c r="D597" i="6"/>
  <c r="E595" i="6"/>
  <c r="F595" i="6"/>
  <c r="D595" i="6"/>
  <c r="E618" i="6"/>
  <c r="F618" i="6"/>
  <c r="D618" i="6"/>
  <c r="E549" i="6"/>
  <c r="F549" i="6"/>
  <c r="D549" i="6"/>
  <c r="E546" i="6"/>
  <c r="F546" i="6"/>
  <c r="D546" i="6"/>
  <c r="E543" i="6"/>
  <c r="F543" i="6"/>
  <c r="D543" i="6"/>
  <c r="E541" i="6"/>
  <c r="F541" i="6"/>
  <c r="D541" i="6"/>
  <c r="E539" i="6"/>
  <c r="F539" i="6"/>
  <c r="D539" i="6"/>
  <c r="E537" i="6"/>
  <c r="F537" i="6"/>
  <c r="D537" i="6"/>
  <c r="E590" i="6"/>
  <c r="F590" i="6"/>
  <c r="D590" i="6"/>
  <c r="F587" i="6"/>
  <c r="E587" i="6"/>
  <c r="D587" i="6"/>
  <c r="E583" i="6"/>
  <c r="F583" i="6"/>
  <c r="D583" i="6"/>
  <c r="E574" i="6"/>
  <c r="F574" i="6"/>
  <c r="D574" i="6"/>
  <c r="E571" i="6"/>
  <c r="F571" i="6"/>
  <c r="D571" i="6"/>
  <c r="E569" i="6"/>
  <c r="F569" i="6"/>
  <c r="D569" i="6"/>
  <c r="E566" i="6"/>
  <c r="F566" i="6"/>
  <c r="D566" i="6"/>
  <c r="E564" i="6"/>
  <c r="E562" i="6" s="1"/>
  <c r="F564" i="6"/>
  <c r="F562" i="6" s="1"/>
  <c r="D564" i="6"/>
  <c r="D562" i="6" s="1"/>
  <c r="E557" i="6"/>
  <c r="F557" i="6"/>
  <c r="E558" i="6"/>
  <c r="F558" i="6"/>
  <c r="E559" i="6"/>
  <c r="F559" i="6"/>
  <c r="D558" i="6"/>
  <c r="D559" i="6"/>
  <c r="D557" i="6"/>
  <c r="E553" i="6"/>
  <c r="F553" i="6"/>
  <c r="E554" i="6"/>
  <c r="F554" i="6"/>
  <c r="E555" i="6"/>
  <c r="F555" i="6"/>
  <c r="D554" i="6"/>
  <c r="D555" i="6"/>
  <c r="D553" i="6"/>
  <c r="E529" i="6"/>
  <c r="F529" i="6"/>
  <c r="D529" i="6"/>
  <c r="E523" i="6"/>
  <c r="F523" i="6"/>
  <c r="D523" i="6"/>
  <c r="E521" i="6"/>
  <c r="F521" i="6"/>
  <c r="D521" i="6"/>
  <c r="E519" i="6"/>
  <c r="F519" i="6"/>
  <c r="D519" i="6"/>
  <c r="E508" i="6"/>
  <c r="E507" i="6" s="1"/>
  <c r="E506" i="6" s="1"/>
  <c r="F508" i="6"/>
  <c r="F507" i="6" s="1"/>
  <c r="F506" i="6" s="1"/>
  <c r="D508" i="6"/>
  <c r="D507" i="6" s="1"/>
  <c r="D506" i="6" s="1"/>
  <c r="E505" i="6"/>
  <c r="F505" i="6"/>
  <c r="D505" i="6"/>
  <c r="E502" i="6"/>
  <c r="F502" i="6"/>
  <c r="D502" i="6"/>
  <c r="E493" i="6"/>
  <c r="F493" i="6"/>
  <c r="D493" i="6"/>
  <c r="E497" i="6"/>
  <c r="F497" i="6"/>
  <c r="E498" i="6"/>
  <c r="F498" i="6"/>
  <c r="D498" i="6"/>
  <c r="D497" i="6"/>
  <c r="E490" i="6"/>
  <c r="F490" i="6"/>
  <c r="D490" i="6"/>
  <c r="E489" i="6"/>
  <c r="F489" i="6"/>
  <c r="D489" i="6"/>
  <c r="E486" i="6"/>
  <c r="F486" i="6"/>
  <c r="D486" i="6"/>
  <c r="D675" i="6" l="1"/>
  <c r="F675" i="6"/>
  <c r="E675" i="6"/>
  <c r="D496" i="6"/>
  <c r="E496" i="6"/>
  <c r="F496" i="6"/>
  <c r="E479" i="6"/>
  <c r="F479" i="6"/>
  <c r="E480" i="6"/>
  <c r="F480" i="6"/>
  <c r="E481" i="6"/>
  <c r="F481" i="6"/>
  <c r="D480" i="6"/>
  <c r="D481" i="6"/>
  <c r="D479" i="6"/>
  <c r="E475" i="6"/>
  <c r="F475" i="6"/>
  <c r="E476" i="6"/>
  <c r="F476" i="6"/>
  <c r="E477" i="6"/>
  <c r="F477" i="6"/>
  <c r="D476" i="6"/>
  <c r="D477" i="6"/>
  <c r="D475" i="6"/>
  <c r="E442" i="6"/>
  <c r="F442" i="6"/>
  <c r="D442" i="6"/>
  <c r="E440" i="6"/>
  <c r="F440" i="6"/>
  <c r="D440" i="6"/>
  <c r="E435" i="6"/>
  <c r="F435" i="6"/>
  <c r="D435" i="6"/>
  <c r="E432" i="6"/>
  <c r="F432" i="6"/>
  <c r="D432" i="6"/>
  <c r="E430" i="6"/>
  <c r="F430" i="6"/>
  <c r="D430" i="6"/>
  <c r="E427" i="6"/>
  <c r="F427" i="6"/>
  <c r="D427" i="6"/>
  <c r="E425" i="6"/>
  <c r="E424" i="6" s="1"/>
  <c r="F425" i="6"/>
  <c r="F424" i="6" s="1"/>
  <c r="D425" i="6"/>
  <c r="D424" i="6" s="1"/>
  <c r="E422" i="6"/>
  <c r="E421" i="6" s="1"/>
  <c r="F422" i="6"/>
  <c r="F421" i="6" s="1"/>
  <c r="D422" i="6"/>
  <c r="D421" i="6" s="1"/>
  <c r="E420" i="6"/>
  <c r="F420" i="6"/>
  <c r="D420" i="6"/>
  <c r="E416" i="6"/>
  <c r="F416" i="6"/>
  <c r="D416" i="6"/>
  <c r="E414" i="6"/>
  <c r="F414" i="6"/>
  <c r="D414" i="6"/>
  <c r="E464" i="6"/>
  <c r="E463" i="6" s="1"/>
  <c r="F464" i="6"/>
  <c r="F463" i="6" s="1"/>
  <c r="D464" i="6"/>
  <c r="D463" i="6" s="1"/>
  <c r="E462" i="6"/>
  <c r="E461" i="6" s="1"/>
  <c r="F462" i="6"/>
  <c r="D462" i="6"/>
  <c r="D461" i="6" s="1"/>
  <c r="F461" i="6"/>
  <c r="E458" i="6"/>
  <c r="E457" i="6" s="1"/>
  <c r="F458" i="6"/>
  <c r="F457" i="6" s="1"/>
  <c r="D458" i="6"/>
  <c r="D457" i="6" s="1"/>
  <c r="E456" i="6"/>
  <c r="F456" i="6"/>
  <c r="D456" i="6"/>
  <c r="E452" i="6"/>
  <c r="F452" i="6"/>
  <c r="D452" i="6"/>
  <c r="E448" i="6"/>
  <c r="E447" i="6" s="1"/>
  <c r="F448" i="6"/>
  <c r="F447" i="6" s="1"/>
  <c r="D448" i="6"/>
  <c r="D447" i="6" s="1"/>
  <c r="E407" i="6"/>
  <c r="F407" i="6"/>
  <c r="E405" i="6"/>
  <c r="F405" i="6"/>
  <c r="D405" i="6"/>
  <c r="E398" i="6"/>
  <c r="E397" i="6" s="1"/>
  <c r="F398" i="6"/>
  <c r="F397" i="6" s="1"/>
  <c r="D398" i="6"/>
  <c r="E395" i="6"/>
  <c r="F395" i="6"/>
  <c r="D395" i="6"/>
  <c r="E394" i="6"/>
  <c r="F394" i="6"/>
  <c r="D394" i="6"/>
  <c r="D460" i="6" l="1"/>
  <c r="E460" i="6"/>
  <c r="E459" i="6" s="1"/>
  <c r="F460" i="6"/>
  <c r="F459" i="6" s="1"/>
  <c r="D397" i="6"/>
  <c r="D396" i="6" s="1"/>
  <c r="D459" i="6"/>
  <c r="E389" i="6"/>
  <c r="F389" i="6"/>
  <c r="D389" i="6"/>
  <c r="E387" i="6"/>
  <c r="F387" i="6"/>
  <c r="D387" i="6"/>
  <c r="E385" i="6"/>
  <c r="F385" i="6"/>
  <c r="D385" i="6"/>
  <c r="E383" i="6"/>
  <c r="F383" i="6"/>
  <c r="D383" i="6"/>
  <c r="E372" i="6"/>
  <c r="F372" i="6"/>
  <c r="D372" i="6"/>
  <c r="E376" i="6"/>
  <c r="F376" i="6"/>
  <c r="E377" i="6"/>
  <c r="F377" i="6"/>
  <c r="E378" i="6"/>
  <c r="F378" i="6"/>
  <c r="D377" i="6"/>
  <c r="D378" i="6"/>
  <c r="D376" i="6"/>
  <c r="E367" i="6"/>
  <c r="F367" i="6"/>
  <c r="D367" i="6"/>
  <c r="E364" i="6"/>
  <c r="F364" i="6"/>
  <c r="D364" i="6"/>
  <c r="E362" i="6"/>
  <c r="F362" i="6"/>
  <c r="D362" i="6"/>
  <c r="E360" i="6"/>
  <c r="F360" i="6"/>
  <c r="D360" i="6"/>
  <c r="E356" i="6"/>
  <c r="F356" i="6"/>
  <c r="D356" i="6"/>
  <c r="E346" i="6"/>
  <c r="F346" i="6"/>
  <c r="D346" i="6"/>
  <c r="E343" i="6"/>
  <c r="F343" i="6"/>
  <c r="D343" i="6"/>
  <c r="E340" i="6"/>
  <c r="F340" i="6"/>
  <c r="D340" i="6"/>
  <c r="E338" i="6"/>
  <c r="F338" i="6"/>
  <c r="D338" i="6"/>
  <c r="E336" i="6"/>
  <c r="F336" i="6"/>
  <c r="D336" i="6"/>
  <c r="E334" i="6"/>
  <c r="F334" i="6"/>
  <c r="D334" i="6"/>
  <c r="E306" i="6"/>
  <c r="F306" i="6"/>
  <c r="D306" i="6"/>
  <c r="E328" i="6"/>
  <c r="F328" i="6"/>
  <c r="E329" i="6"/>
  <c r="F329" i="6"/>
  <c r="D329" i="6"/>
  <c r="D328" i="6"/>
  <c r="E320" i="6"/>
  <c r="F320" i="6"/>
  <c r="D320" i="6"/>
  <c r="E317" i="6"/>
  <c r="F317" i="6"/>
  <c r="D317" i="6"/>
  <c r="E315" i="6"/>
  <c r="F315" i="6"/>
  <c r="D315" i="6"/>
  <c r="E313" i="6"/>
  <c r="F313" i="6"/>
  <c r="D313" i="6"/>
  <c r="E301" i="6"/>
  <c r="F301" i="6"/>
  <c r="D301" i="6"/>
  <c r="E298" i="6"/>
  <c r="E297" i="6" s="1"/>
  <c r="F298" i="6"/>
  <c r="F297" i="6" s="1"/>
  <c r="D298" i="6"/>
  <c r="D297" i="6" s="1"/>
  <c r="E292" i="6"/>
  <c r="F292" i="6"/>
  <c r="D292" i="6"/>
  <c r="E290" i="6"/>
  <c r="F290" i="6"/>
  <c r="D290" i="6"/>
  <c r="E288" i="6"/>
  <c r="F288" i="6"/>
  <c r="D288" i="6"/>
  <c r="E286" i="6"/>
  <c r="E285" i="6" s="1"/>
  <c r="F286" i="6"/>
  <c r="F285" i="6" s="1"/>
  <c r="D286" i="6"/>
  <c r="D285" i="6" s="1"/>
  <c r="E284" i="6"/>
  <c r="F284" i="6"/>
  <c r="D284" i="6"/>
  <c r="E282" i="6"/>
  <c r="F282" i="6"/>
  <c r="D282" i="6"/>
  <c r="E280" i="6"/>
  <c r="F280" i="6"/>
  <c r="D280" i="6"/>
  <c r="E276" i="6"/>
  <c r="F276" i="6"/>
  <c r="D276" i="6"/>
  <c r="E273" i="6"/>
  <c r="F273" i="6"/>
  <c r="D273" i="6"/>
  <c r="E271" i="6"/>
  <c r="F271" i="6"/>
  <c r="D271" i="6"/>
  <c r="E269" i="6"/>
  <c r="F269" i="6"/>
  <c r="D269" i="6"/>
  <c r="E267" i="6"/>
  <c r="E266" i="6" s="1"/>
  <c r="F267" i="6"/>
  <c r="F266" i="6" s="1"/>
  <c r="D267" i="6"/>
  <c r="D266" i="6" s="1"/>
  <c r="E265" i="6"/>
  <c r="F265" i="6"/>
  <c r="D265" i="6"/>
  <c r="E263" i="6"/>
  <c r="F263" i="6"/>
  <c r="D263" i="6"/>
  <c r="E261" i="6"/>
  <c r="E260" i="6" s="1"/>
  <c r="F261" i="6"/>
  <c r="F260" i="6" s="1"/>
  <c r="D261" i="6"/>
  <c r="E240" i="6"/>
  <c r="F240" i="6"/>
  <c r="D240" i="6"/>
  <c r="E238" i="6"/>
  <c r="F238" i="6"/>
  <c r="D238" i="6"/>
  <c r="E236" i="6"/>
  <c r="F236" i="6"/>
  <c r="D236" i="6"/>
  <c r="E234" i="6"/>
  <c r="F234" i="6"/>
  <c r="D234" i="6"/>
  <c r="E232" i="6"/>
  <c r="F232" i="6"/>
  <c r="D232" i="6"/>
  <c r="E228" i="6"/>
  <c r="F228" i="6"/>
  <c r="D228" i="6"/>
  <c r="E226" i="6"/>
  <c r="F226" i="6"/>
  <c r="D226" i="6"/>
  <c r="E223" i="6"/>
  <c r="F223" i="6"/>
  <c r="D223" i="6"/>
  <c r="E220" i="6"/>
  <c r="F220" i="6"/>
  <c r="D220" i="6"/>
  <c r="E218" i="6"/>
  <c r="F218" i="6"/>
  <c r="D218" i="6"/>
  <c r="E215" i="6"/>
  <c r="F215" i="6"/>
  <c r="D215" i="6"/>
  <c r="E210" i="6"/>
  <c r="F210" i="6"/>
  <c r="E211" i="6"/>
  <c r="F211" i="6"/>
  <c r="E212" i="6"/>
  <c r="F212" i="6"/>
  <c r="D211" i="6"/>
  <c r="D212" i="6"/>
  <c r="D210" i="6"/>
  <c r="E206" i="6"/>
  <c r="F206" i="6"/>
  <c r="E207" i="6"/>
  <c r="F207" i="6"/>
  <c r="D207" i="6"/>
  <c r="D206" i="6"/>
  <c r="E140" i="6"/>
  <c r="F140" i="6"/>
  <c r="D140" i="6"/>
  <c r="E199" i="6"/>
  <c r="F199" i="6"/>
  <c r="D199" i="6"/>
  <c r="E195" i="6"/>
  <c r="E194" i="6" s="1"/>
  <c r="F195" i="6"/>
  <c r="F194" i="6" s="1"/>
  <c r="D195" i="6"/>
  <c r="D194" i="6" s="1"/>
  <c r="E187" i="6"/>
  <c r="F187" i="6"/>
  <c r="D187" i="6"/>
  <c r="E185" i="6"/>
  <c r="F185" i="6"/>
  <c r="D185" i="6"/>
  <c r="E183" i="6"/>
  <c r="F183" i="6"/>
  <c r="D183" i="6"/>
  <c r="E181" i="6"/>
  <c r="F181" i="6"/>
  <c r="D181" i="6"/>
  <c r="E179" i="6"/>
  <c r="F179" i="6"/>
  <c r="D179" i="6"/>
  <c r="E177" i="6"/>
  <c r="F177" i="6"/>
  <c r="D177" i="6"/>
  <c r="E248" i="6"/>
  <c r="E246" i="6" s="1"/>
  <c r="F248" i="6"/>
  <c r="F246" i="6" s="1"/>
  <c r="D248" i="6"/>
  <c r="D246" i="6" s="1"/>
  <c r="E159" i="6"/>
  <c r="E158" i="6" s="1"/>
  <c r="E157" i="6" s="1"/>
  <c r="F159" i="6"/>
  <c r="F158" i="6" s="1"/>
  <c r="F157" i="6" s="1"/>
  <c r="D159" i="6"/>
  <c r="D158" i="6" s="1"/>
  <c r="D157" i="6" s="1"/>
  <c r="E156" i="6"/>
  <c r="F156" i="6"/>
  <c r="D156" i="6"/>
  <c r="F153" i="6"/>
  <c r="F148" i="6"/>
  <c r="F149" i="6"/>
  <c r="E145" i="6"/>
  <c r="F145" i="6"/>
  <c r="E146" i="6"/>
  <c r="F146" i="6"/>
  <c r="D146" i="6"/>
  <c r="D145" i="6"/>
  <c r="E137" i="6"/>
  <c r="F137" i="6"/>
  <c r="D137" i="6"/>
  <c r="E135" i="6"/>
  <c r="F135" i="6"/>
  <c r="D135" i="6"/>
  <c r="E132" i="6"/>
  <c r="F132" i="6"/>
  <c r="D132" i="6"/>
  <c r="E131" i="6"/>
  <c r="F131" i="6"/>
  <c r="D131" i="6"/>
  <c r="E129" i="6"/>
  <c r="F129" i="6"/>
  <c r="D129" i="6"/>
  <c r="E127" i="6"/>
  <c r="F127" i="6"/>
  <c r="D127" i="6"/>
  <c r="E124" i="6"/>
  <c r="F124" i="6"/>
  <c r="D124" i="6"/>
  <c r="E122" i="6"/>
  <c r="F122" i="6"/>
  <c r="D122" i="6"/>
  <c r="E121" i="6"/>
  <c r="F121" i="6"/>
  <c r="D121" i="6"/>
  <c r="E120" i="6"/>
  <c r="F120" i="6"/>
  <c r="D120" i="6"/>
  <c r="E118" i="6"/>
  <c r="F118" i="6"/>
  <c r="D118" i="6"/>
  <c r="E117" i="6"/>
  <c r="F117" i="6"/>
  <c r="D117" i="6"/>
  <c r="E116" i="6"/>
  <c r="F116" i="6"/>
  <c r="D116" i="6"/>
  <c r="E114" i="6"/>
  <c r="D114" i="6"/>
  <c r="E112" i="6"/>
  <c r="F112" i="6"/>
  <c r="D112" i="6"/>
  <c r="E110" i="6"/>
  <c r="F110" i="6"/>
  <c r="D110" i="6"/>
  <c r="E108" i="6"/>
  <c r="F108" i="6"/>
  <c r="D108" i="6"/>
  <c r="E106" i="6"/>
  <c r="F106" i="6"/>
  <c r="D106" i="6"/>
  <c r="E96" i="6"/>
  <c r="E95" i="6" s="1"/>
  <c r="F96" i="6"/>
  <c r="F95" i="6" s="1"/>
  <c r="D96" i="6"/>
  <c r="D95" i="6" s="1"/>
  <c r="E94" i="6"/>
  <c r="F94" i="6"/>
  <c r="D94" i="6"/>
  <c r="E92" i="6"/>
  <c r="F92" i="6"/>
  <c r="D92" i="6"/>
  <c r="E84" i="6"/>
  <c r="F84" i="6"/>
  <c r="D84" i="6"/>
  <c r="E82" i="6"/>
  <c r="F82" i="6"/>
  <c r="D82" i="6"/>
  <c r="E80" i="6"/>
  <c r="E79" i="6" s="1"/>
  <c r="F80" i="6"/>
  <c r="F79" i="6" s="1"/>
  <c r="D80" i="6"/>
  <c r="D79" i="6" s="1"/>
  <c r="E78" i="6"/>
  <c r="F78" i="6"/>
  <c r="D78" i="6"/>
  <c r="E76" i="6"/>
  <c r="F76" i="6"/>
  <c r="D76" i="6"/>
  <c r="E74" i="6"/>
  <c r="F74" i="6"/>
  <c r="D74" i="6"/>
  <c r="E72" i="6"/>
  <c r="F72" i="6"/>
  <c r="D72" i="6"/>
  <c r="E70" i="6"/>
  <c r="F70" i="6"/>
  <c r="D70" i="6"/>
  <c r="E68" i="6"/>
  <c r="F68" i="6"/>
  <c r="D68" i="6"/>
  <c r="E54" i="6"/>
  <c r="F54" i="6"/>
  <c r="D54" i="6"/>
  <c r="E43" i="6"/>
  <c r="F43" i="6"/>
  <c r="D43" i="6"/>
  <c r="E62" i="6"/>
  <c r="F62" i="6"/>
  <c r="D62" i="6"/>
  <c r="E60" i="6"/>
  <c r="F60" i="6"/>
  <c r="D60" i="6"/>
  <c r="E58" i="6"/>
  <c r="F58" i="6"/>
  <c r="D58" i="6"/>
  <c r="E56" i="6"/>
  <c r="F56" i="6"/>
  <c r="D56" i="6"/>
  <c r="E52" i="6"/>
  <c r="F52" i="6"/>
  <c r="D52" i="6"/>
  <c r="E48" i="6"/>
  <c r="F48" i="6"/>
  <c r="D48" i="6"/>
  <c r="E46" i="6"/>
  <c r="F46" i="6"/>
  <c r="D46" i="6"/>
  <c r="I139" i="1"/>
  <c r="F114" i="6" s="1"/>
  <c r="I172" i="1"/>
  <c r="F152" i="6" s="1"/>
  <c r="I171" i="1"/>
  <c r="F151" i="6" s="1"/>
  <c r="E50" i="6"/>
  <c r="F50" i="6"/>
  <c r="D50" i="6"/>
  <c r="E44" i="6"/>
  <c r="F44" i="6"/>
  <c r="F42" i="6" s="1"/>
  <c r="D44" i="6"/>
  <c r="D42" i="6" s="1"/>
  <c r="E35" i="6"/>
  <c r="F35" i="6"/>
  <c r="D35" i="6"/>
  <c r="D31" i="6"/>
  <c r="E31" i="6"/>
  <c r="F31" i="6"/>
  <c r="E30" i="6"/>
  <c r="F30" i="6"/>
  <c r="D30" i="6"/>
  <c r="E26" i="6"/>
  <c r="F26" i="6"/>
  <c r="D26" i="6"/>
  <c r="D205" i="6" l="1"/>
  <c r="F205" i="6"/>
  <c r="E205" i="6"/>
  <c r="D327" i="6"/>
  <c r="F327" i="6"/>
  <c r="E327" i="6"/>
  <c r="E42" i="6"/>
  <c r="H578" i="1"/>
  <c r="H577" i="1" s="1"/>
  <c r="I578" i="1"/>
  <c r="I577" i="1" s="1"/>
  <c r="G880" i="1"/>
  <c r="D407" i="6" s="1"/>
  <c r="D626" i="6" l="1"/>
  <c r="H173" i="1"/>
  <c r="E153" i="6" s="1"/>
  <c r="G173" i="1"/>
  <c r="D153" i="6" s="1"/>
  <c r="H172" i="1"/>
  <c r="E152" i="6" s="1"/>
  <c r="G172" i="1"/>
  <c r="D152" i="6" s="1"/>
  <c r="H171" i="1"/>
  <c r="E151" i="6" s="1"/>
  <c r="G171" i="1"/>
  <c r="D151" i="6" s="1"/>
  <c r="E149" i="6"/>
  <c r="D149" i="6"/>
  <c r="E148" i="6"/>
  <c r="D148" i="6"/>
  <c r="H982" i="1"/>
  <c r="I982" i="1"/>
  <c r="G982" i="1" l="1"/>
  <c r="H984" i="1"/>
  <c r="H981" i="1" s="1"/>
  <c r="H980" i="1" s="1"/>
  <c r="E31" i="7" s="1"/>
  <c r="I984" i="1"/>
  <c r="I981" i="1" s="1"/>
  <c r="I980" i="1" s="1"/>
  <c r="F31" i="7" s="1"/>
  <c r="G984" i="1"/>
  <c r="H939" i="1"/>
  <c r="I939" i="1"/>
  <c r="G939" i="1"/>
  <c r="I933" i="1"/>
  <c r="F418" i="6" s="1"/>
  <c r="E418" i="6"/>
  <c r="D418" i="6"/>
  <c r="H907" i="1"/>
  <c r="I907" i="1"/>
  <c r="G907" i="1"/>
  <c r="I909" i="1"/>
  <c r="H909" i="1"/>
  <c r="G909" i="1"/>
  <c r="H903" i="1"/>
  <c r="I903" i="1"/>
  <c r="G903" i="1"/>
  <c r="I906" i="1" l="1"/>
  <c r="G906" i="1"/>
  <c r="H906" i="1"/>
  <c r="G981" i="1"/>
  <c r="G980" i="1" s="1"/>
  <c r="D31" i="7" s="1"/>
  <c r="I905" i="1"/>
  <c r="G905" i="1"/>
  <c r="H905" i="1"/>
  <c r="H474" i="1" l="1"/>
  <c r="H473" i="1" s="1"/>
  <c r="H472" i="1" s="1"/>
  <c r="E28" i="7" s="1"/>
  <c r="I474" i="1"/>
  <c r="I473" i="1" s="1"/>
  <c r="I472" i="1" s="1"/>
  <c r="F28" i="7" s="1"/>
  <c r="G474" i="1"/>
  <c r="G473" i="1" s="1"/>
  <c r="G472" i="1" s="1"/>
  <c r="D28" i="7" s="1"/>
  <c r="H458" i="1"/>
  <c r="H457" i="1" s="1"/>
  <c r="H456" i="1" s="1"/>
  <c r="E27" i="7" s="1"/>
  <c r="I458" i="1"/>
  <c r="I457" i="1" s="1"/>
  <c r="I456" i="1" s="1"/>
  <c r="F27" i="7" s="1"/>
  <c r="G458" i="1"/>
  <c r="G457" i="1" s="1"/>
  <c r="G456" i="1" s="1"/>
  <c r="D27" i="7" s="1"/>
  <c r="H396" i="1"/>
  <c r="H395" i="1" s="1"/>
  <c r="H394" i="1" s="1"/>
  <c r="I396" i="1"/>
  <c r="I395" i="1" s="1"/>
  <c r="I394" i="1" s="1"/>
  <c r="G396" i="1"/>
  <c r="G395" i="1" s="1"/>
  <c r="G394" i="1" s="1"/>
  <c r="H323" i="1"/>
  <c r="H322" i="1" s="1"/>
  <c r="H321" i="1" s="1"/>
  <c r="I323" i="1"/>
  <c r="I322" i="1" s="1"/>
  <c r="I321" i="1" s="1"/>
  <c r="G323" i="1"/>
  <c r="G322" i="1" s="1"/>
  <c r="G321" i="1" s="1"/>
  <c r="H1034" i="1"/>
  <c r="H1033" i="1" s="1"/>
  <c r="I1034" i="1"/>
  <c r="I1033" i="1" s="1"/>
  <c r="G1034" i="1"/>
  <c r="G1033" i="1" s="1"/>
  <c r="H1020" i="1"/>
  <c r="H1019" i="1" s="1"/>
  <c r="H1018" i="1" s="1"/>
  <c r="I1020" i="1"/>
  <c r="I1019" i="1" s="1"/>
  <c r="I1018" i="1" s="1"/>
  <c r="G1020" i="1"/>
  <c r="G1019" i="1" s="1"/>
  <c r="G1018" i="1" s="1"/>
  <c r="H1001" i="1"/>
  <c r="H1000" i="1" s="1"/>
  <c r="I1001" i="1"/>
  <c r="I1000" i="1" s="1"/>
  <c r="G1001" i="1"/>
  <c r="G1000" i="1" s="1"/>
  <c r="H850" i="1"/>
  <c r="H849" i="1" s="1"/>
  <c r="I850" i="1"/>
  <c r="I849" i="1" s="1"/>
  <c r="G850" i="1"/>
  <c r="G849" i="1" s="1"/>
  <c r="H608" i="1"/>
  <c r="H607" i="1" s="1"/>
  <c r="I608" i="1"/>
  <c r="I607" i="1" s="1"/>
  <c r="G608" i="1"/>
  <c r="G607" i="1" s="1"/>
  <c r="H520" i="1"/>
  <c r="I520" i="1"/>
  <c r="G520" i="1"/>
  <c r="H467" i="1"/>
  <c r="H466" i="1" s="1"/>
  <c r="I467" i="1"/>
  <c r="I466" i="1" s="1"/>
  <c r="G467" i="1"/>
  <c r="G466" i="1" s="1"/>
  <c r="H405" i="1"/>
  <c r="H404" i="1" s="1"/>
  <c r="I405" i="1"/>
  <c r="I404" i="1" s="1"/>
  <c r="G405" i="1"/>
  <c r="G404" i="1" s="1"/>
  <c r="H253" i="1"/>
  <c r="H252" i="1" s="1"/>
  <c r="H251" i="1" s="1"/>
  <c r="I253" i="1"/>
  <c r="I252" i="1" s="1"/>
  <c r="I251" i="1" s="1"/>
  <c r="I310" i="1"/>
  <c r="I309" i="1" s="1"/>
  <c r="H310" i="1"/>
  <c r="H309" i="1" s="1"/>
  <c r="G310" i="1"/>
  <c r="G309" i="1" s="1"/>
  <c r="I35" i="1"/>
  <c r="I34" i="1" s="1"/>
  <c r="H35" i="1"/>
  <c r="H34" i="1" s="1"/>
  <c r="G35" i="1"/>
  <c r="G34" i="1" s="1"/>
  <c r="I764" i="1"/>
  <c r="I763" i="1" s="1"/>
  <c r="I762" i="1" s="1"/>
  <c r="H764" i="1"/>
  <c r="H763" i="1" s="1"/>
  <c r="H762" i="1" s="1"/>
  <c r="G764" i="1"/>
  <c r="G763" i="1" s="1"/>
  <c r="G762" i="1" s="1"/>
  <c r="I754" i="1"/>
  <c r="I753" i="1" s="1"/>
  <c r="H754" i="1"/>
  <c r="H753" i="1" s="1"/>
  <c r="G754" i="1"/>
  <c r="G753" i="1" s="1"/>
  <c r="I751" i="1"/>
  <c r="I750" i="1" s="1"/>
  <c r="H751" i="1"/>
  <c r="G751" i="1"/>
  <c r="G750" i="1" s="1"/>
  <c r="H750" i="1"/>
  <c r="I748" i="1"/>
  <c r="H748" i="1"/>
  <c r="G748" i="1"/>
  <c r="I746" i="1"/>
  <c r="H746" i="1"/>
  <c r="G746" i="1"/>
  <c r="I744" i="1"/>
  <c r="H744" i="1"/>
  <c r="G744" i="1"/>
  <c r="I742" i="1"/>
  <c r="H742" i="1"/>
  <c r="G742" i="1"/>
  <c r="G768" i="1"/>
  <c r="G767" i="1" s="1"/>
  <c r="H768" i="1"/>
  <c r="H767" i="1" s="1"/>
  <c r="I768" i="1"/>
  <c r="I767" i="1" s="1"/>
  <c r="H646" i="1"/>
  <c r="H645" i="1" s="1"/>
  <c r="I646" i="1"/>
  <c r="I645" i="1" s="1"/>
  <c r="G646" i="1"/>
  <c r="G645" i="1" s="1"/>
  <c r="I636" i="1"/>
  <c r="H636" i="1"/>
  <c r="G636" i="1"/>
  <c r="I634" i="1"/>
  <c r="H634" i="1"/>
  <c r="G634" i="1"/>
  <c r="I632" i="1"/>
  <c r="H632" i="1"/>
  <c r="G632" i="1"/>
  <c r="I630" i="1"/>
  <c r="H630" i="1"/>
  <c r="G630" i="1"/>
  <c r="I628" i="1"/>
  <c r="H628" i="1"/>
  <c r="G628" i="1"/>
  <c r="I626" i="1"/>
  <c r="H626" i="1"/>
  <c r="G626" i="1"/>
  <c r="I624" i="1"/>
  <c r="H624" i="1"/>
  <c r="G624" i="1"/>
  <c r="I622" i="1"/>
  <c r="H622" i="1"/>
  <c r="G622" i="1"/>
  <c r="I620" i="1"/>
  <c r="H620" i="1"/>
  <c r="G620" i="1"/>
  <c r="H526" i="1"/>
  <c r="I526" i="1"/>
  <c r="I528" i="1"/>
  <c r="H528" i="1"/>
  <c r="G528" i="1"/>
  <c r="G526" i="1"/>
  <c r="G253" i="1"/>
  <c r="G252" i="1" s="1"/>
  <c r="G251" i="1" s="1"/>
  <c r="H213" i="1"/>
  <c r="I213" i="1"/>
  <c r="G213" i="1"/>
  <c r="H178" i="1"/>
  <c r="H177" i="1" s="1"/>
  <c r="I178" i="1"/>
  <c r="I177" i="1" s="1"/>
  <c r="G178" i="1"/>
  <c r="G177" i="1" s="1"/>
  <c r="H102" i="1"/>
  <c r="I102" i="1"/>
  <c r="G102" i="1"/>
  <c r="H86" i="1"/>
  <c r="I86" i="1"/>
  <c r="G86" i="1"/>
  <c r="H550" i="1"/>
  <c r="I550" i="1"/>
  <c r="G550" i="1"/>
  <c r="H68" i="1"/>
  <c r="H67" i="1" s="1"/>
  <c r="H66" i="1" s="1"/>
  <c r="I68" i="1"/>
  <c r="I67" i="1" s="1"/>
  <c r="I66" i="1" s="1"/>
  <c r="G68" i="1"/>
  <c r="G67" i="1" s="1"/>
  <c r="G66" i="1" s="1"/>
  <c r="D25" i="7" s="1"/>
  <c r="F25" i="7" l="1"/>
  <c r="D26" i="7"/>
  <c r="E25" i="7"/>
  <c r="F26" i="7"/>
  <c r="E26" i="7"/>
  <c r="G519" i="1"/>
  <c r="G518" i="1" s="1"/>
  <c r="D791" i="6"/>
  <c r="D790" i="6" s="1"/>
  <c r="H519" i="1"/>
  <c r="H518" i="1" s="1"/>
  <c r="E791" i="6"/>
  <c r="E790" i="6" s="1"/>
  <c r="I519" i="1"/>
  <c r="I518" i="1" s="1"/>
  <c r="F791" i="6"/>
  <c r="F790" i="6" s="1"/>
  <c r="I741" i="1"/>
  <c r="I740" i="1" s="1"/>
  <c r="I739" i="1" s="1"/>
  <c r="H741" i="1"/>
  <c r="H766" i="1"/>
  <c r="H619" i="1"/>
  <c r="H618" i="1" s="1"/>
  <c r="E30" i="7" s="1"/>
  <c r="I766" i="1"/>
  <c r="G766" i="1"/>
  <c r="G741" i="1"/>
  <c r="G619" i="1"/>
  <c r="G618" i="1" s="1"/>
  <c r="D30" i="7" s="1"/>
  <c r="I619" i="1"/>
  <c r="I618" i="1" s="1"/>
  <c r="F30" i="7" s="1"/>
  <c r="G525" i="1"/>
  <c r="G524" i="1" s="1"/>
  <c r="D29" i="7" s="1"/>
  <c r="I525" i="1"/>
  <c r="I524" i="1" s="1"/>
  <c r="F29" i="7" s="1"/>
  <c r="H525" i="1"/>
  <c r="H524" i="1" s="1"/>
  <c r="E29" i="7" s="1"/>
  <c r="I738" i="1" l="1"/>
  <c r="I737" i="1" s="1"/>
  <c r="F41" i="7"/>
  <c r="H740" i="1"/>
  <c r="H739" i="1" s="1"/>
  <c r="G740" i="1"/>
  <c r="G739" i="1" s="1"/>
  <c r="G738" i="1" l="1"/>
  <c r="G737" i="1" s="1"/>
  <c r="D41" i="7"/>
  <c r="H738" i="1"/>
  <c r="H737" i="1" s="1"/>
  <c r="E41" i="7"/>
  <c r="I545" i="1"/>
  <c r="H545" i="1"/>
  <c r="G545" i="1"/>
  <c r="H541" i="1"/>
  <c r="I541" i="1"/>
  <c r="I540" i="1" s="1"/>
  <c r="H540" i="1"/>
  <c r="G541" i="1"/>
  <c r="H25" i="1"/>
  <c r="H24" i="1" s="1"/>
  <c r="H23" i="1" s="1"/>
  <c r="E24" i="7" s="1"/>
  <c r="I25" i="1"/>
  <c r="I24" i="1" s="1"/>
  <c r="I23" i="1" s="1"/>
  <c r="F24" i="7" s="1"/>
  <c r="G25" i="1"/>
  <c r="G24" i="1" s="1"/>
  <c r="G23" i="1" s="1"/>
  <c r="D24" i="7" s="1"/>
  <c r="H841" i="1" l="1"/>
  <c r="I841" i="1"/>
  <c r="G841" i="1"/>
  <c r="H401" i="1" l="1"/>
  <c r="I401" i="1"/>
  <c r="G401" i="1"/>
  <c r="H354" i="1" l="1"/>
  <c r="I354" i="1"/>
  <c r="G354" i="1"/>
  <c r="H335" i="1"/>
  <c r="I335" i="1"/>
  <c r="G335" i="1"/>
  <c r="H1029" i="1" l="1"/>
  <c r="I1029" i="1"/>
  <c r="G1029" i="1"/>
  <c r="H463" i="1" l="1"/>
  <c r="I463" i="1"/>
  <c r="G463" i="1"/>
  <c r="H420" i="1"/>
  <c r="I420" i="1"/>
  <c r="G420" i="1"/>
  <c r="H30" i="1" l="1"/>
  <c r="H29" i="1" s="1"/>
  <c r="H28" i="1" s="1"/>
  <c r="I30" i="1"/>
  <c r="I29" i="1" s="1"/>
  <c r="I28" i="1" s="1"/>
  <c r="E426" i="6" l="1"/>
  <c r="F426" i="6"/>
  <c r="D426" i="6"/>
  <c r="H941" i="1"/>
  <c r="I941" i="1"/>
  <c r="G941" i="1"/>
  <c r="E61" i="6" l="1"/>
  <c r="F61" i="6"/>
  <c r="D61" i="6"/>
  <c r="E785" i="6" l="1"/>
  <c r="F785" i="6"/>
  <c r="D785" i="6"/>
  <c r="H123" i="1"/>
  <c r="H120" i="1" s="1"/>
  <c r="I123" i="1"/>
  <c r="I120" i="1" s="1"/>
  <c r="G123" i="1"/>
  <c r="G120" i="1" s="1"/>
  <c r="E406" i="6" l="1"/>
  <c r="F406" i="6"/>
  <c r="D406" i="6"/>
  <c r="H879" i="1"/>
  <c r="I879" i="1"/>
  <c r="G879" i="1"/>
  <c r="G877" i="1"/>
  <c r="G876" i="1" l="1"/>
  <c r="E455" i="6"/>
  <c r="F455" i="6"/>
  <c r="D455" i="6"/>
  <c r="H901" i="1"/>
  <c r="I901" i="1"/>
  <c r="G901" i="1"/>
  <c r="E97" i="6" l="1"/>
  <c r="F97" i="6"/>
  <c r="D97" i="6"/>
  <c r="H307" i="1" l="1"/>
  <c r="H306" i="1" s="1"/>
  <c r="I307" i="1"/>
  <c r="I306" i="1" s="1"/>
  <c r="G307" i="1"/>
  <c r="G306" i="1" s="1"/>
  <c r="G208" i="1" l="1"/>
  <c r="G207" i="1" s="1"/>
  <c r="H208" i="1"/>
  <c r="H207" i="1" s="1"/>
  <c r="I208" i="1"/>
  <c r="I207" i="1" s="1"/>
  <c r="H866" i="1"/>
  <c r="I866" i="1"/>
  <c r="G866" i="1"/>
  <c r="E776" i="6" l="1"/>
  <c r="F776" i="6"/>
  <c r="D776" i="6"/>
  <c r="E764" i="6" l="1"/>
  <c r="F764" i="6"/>
  <c r="D764" i="6"/>
  <c r="G856" i="1"/>
  <c r="G855" i="1" s="1"/>
  <c r="H547" i="1" l="1"/>
  <c r="H544" i="1" s="1"/>
  <c r="I547" i="1"/>
  <c r="I544" i="1" s="1"/>
  <c r="G547" i="1"/>
  <c r="G544" i="1" s="1"/>
  <c r="H109" i="1" l="1"/>
  <c r="H108" i="1" s="1"/>
  <c r="H107" i="1" s="1"/>
  <c r="I109" i="1"/>
  <c r="I108" i="1" s="1"/>
  <c r="I107" i="1" s="1"/>
  <c r="G109" i="1"/>
  <c r="G108" i="1" s="1"/>
  <c r="G107" i="1" s="1"/>
  <c r="G155" i="1"/>
  <c r="H155" i="1"/>
  <c r="I155" i="1"/>
  <c r="H237" i="1" l="1"/>
  <c r="I237" i="1"/>
  <c r="G237" i="1"/>
  <c r="E193" i="6" l="1"/>
  <c r="D193" i="6"/>
  <c r="F193" i="6"/>
  <c r="G578" i="1" l="1"/>
  <c r="G577" i="1" s="1"/>
  <c r="E602" i="6"/>
  <c r="F602" i="6"/>
  <c r="E604" i="6"/>
  <c r="F604" i="6"/>
  <c r="D602" i="6"/>
  <c r="D604" i="6"/>
  <c r="E606" i="6"/>
  <c r="F606" i="6"/>
  <c r="D606" i="6"/>
  <c r="H799" i="1"/>
  <c r="I799" i="1"/>
  <c r="G799" i="1"/>
  <c r="H801" i="1"/>
  <c r="I801" i="1"/>
  <c r="G801" i="1"/>
  <c r="H803" i="1"/>
  <c r="I803" i="1"/>
  <c r="G803" i="1"/>
  <c r="I479" i="1" l="1"/>
  <c r="H479" i="1"/>
  <c r="G479" i="1"/>
  <c r="E504" i="6" l="1"/>
  <c r="E503" i="6" s="1"/>
  <c r="F504" i="6"/>
  <c r="F503" i="6" s="1"/>
  <c r="D504" i="6"/>
  <c r="D503" i="6" s="1"/>
  <c r="H965" i="1"/>
  <c r="H964" i="1" s="1"/>
  <c r="I965" i="1"/>
  <c r="I964" i="1" s="1"/>
  <c r="G965" i="1"/>
  <c r="G964" i="1" s="1"/>
  <c r="G854" i="1" l="1"/>
  <c r="I854" i="1"/>
  <c r="H854" i="1"/>
  <c r="E802" i="6" l="1"/>
  <c r="F802" i="6"/>
  <c r="D802" i="6"/>
  <c r="I54" i="1"/>
  <c r="H54" i="1"/>
  <c r="G54" i="1"/>
  <c r="E773" i="6" l="1"/>
  <c r="D773" i="6"/>
  <c r="F773" i="6"/>
  <c r="F686" i="6" l="1"/>
  <c r="D686" i="6"/>
  <c r="E680" i="6"/>
  <c r="F680" i="6"/>
  <c r="E686" i="6"/>
  <c r="E684" i="6"/>
  <c r="F684" i="6"/>
  <c r="D684" i="6"/>
  <c r="E682" i="6"/>
  <c r="F682" i="6"/>
  <c r="D682" i="6"/>
  <c r="D680" i="6"/>
  <c r="E485" i="6"/>
  <c r="F485" i="6"/>
  <c r="D485" i="6"/>
  <c r="E441" i="6"/>
  <c r="F441" i="6"/>
  <c r="D441" i="6"/>
  <c r="E415" i="6"/>
  <c r="F415" i="6"/>
  <c r="D415" i="6"/>
  <c r="F393" i="6" l="1"/>
  <c r="F392" i="6" s="1"/>
  <c r="D393" i="6"/>
  <c r="D392" i="6" s="1"/>
  <c r="E393" i="6"/>
  <c r="E392" i="6" s="1"/>
  <c r="D679" i="6"/>
  <c r="D678" i="6" s="1"/>
  <c r="D66" i="7" s="1"/>
  <c r="D478" i="6"/>
  <c r="F679" i="6"/>
  <c r="F678" i="6" s="1"/>
  <c r="F66" i="7" s="1"/>
  <c r="E679" i="6"/>
  <c r="E678" i="6" s="1"/>
  <c r="E66" i="7" s="1"/>
  <c r="E478" i="6"/>
  <c r="F478" i="6"/>
  <c r="E237" i="6"/>
  <c r="F237" i="6"/>
  <c r="D237" i="6"/>
  <c r="E198" i="6"/>
  <c r="E197" i="6" s="1"/>
  <c r="F198" i="6"/>
  <c r="F197" i="6" s="1"/>
  <c r="D198" i="6"/>
  <c r="D197" i="6" s="1"/>
  <c r="E182" i="6"/>
  <c r="F182" i="6"/>
  <c r="D182" i="6"/>
  <c r="D130" i="6"/>
  <c r="E111" i="6"/>
  <c r="F111" i="6"/>
  <c r="D111" i="6"/>
  <c r="E75" i="6"/>
  <c r="F75" i="6"/>
  <c r="D75" i="6"/>
  <c r="E49" i="6" l="1"/>
  <c r="F49" i="6"/>
  <c r="D49" i="6"/>
  <c r="E59" i="6"/>
  <c r="F59" i="6"/>
  <c r="D59" i="6"/>
  <c r="E57" i="6"/>
  <c r="F57" i="6"/>
  <c r="D57" i="6"/>
  <c r="E55" i="6"/>
  <c r="F55" i="6"/>
  <c r="D55" i="6"/>
  <c r="E53" i="6"/>
  <c r="F53" i="6"/>
  <c r="D53" i="6"/>
  <c r="E51" i="6"/>
  <c r="F51" i="6"/>
  <c r="D51" i="6"/>
  <c r="E47" i="6"/>
  <c r="F47" i="6"/>
  <c r="D47" i="6"/>
  <c r="H930" i="1" l="1"/>
  <c r="I930" i="1"/>
  <c r="G930" i="1"/>
  <c r="H993" i="1"/>
  <c r="I993" i="1"/>
  <c r="G993" i="1"/>
  <c r="H998" i="1" l="1"/>
  <c r="H997" i="1" s="1"/>
  <c r="I998" i="1"/>
  <c r="I997" i="1" s="1"/>
  <c r="G998" i="1"/>
  <c r="G997" i="1" s="1"/>
  <c r="H956" i="1"/>
  <c r="I956" i="1"/>
  <c r="G956" i="1"/>
  <c r="H865" i="1"/>
  <c r="I865" i="1"/>
  <c r="G865" i="1"/>
  <c r="G864" i="1" s="1"/>
  <c r="G863" i="1" s="1"/>
  <c r="H533" i="1" l="1"/>
  <c r="I533" i="1"/>
  <c r="G533" i="1"/>
  <c r="I424" i="1" l="1"/>
  <c r="H424" i="1"/>
  <c r="G424" i="1"/>
  <c r="I422" i="1"/>
  <c r="H422" i="1"/>
  <c r="G422" i="1"/>
  <c r="I418" i="1"/>
  <c r="H418" i="1"/>
  <c r="G418" i="1"/>
  <c r="I416" i="1"/>
  <c r="H416" i="1"/>
  <c r="G416" i="1"/>
  <c r="I414" i="1"/>
  <c r="H414" i="1"/>
  <c r="G414" i="1"/>
  <c r="G413" i="1" l="1"/>
  <c r="G412" i="1" s="1"/>
  <c r="G411" i="1" s="1"/>
  <c r="G410" i="1" s="1"/>
  <c r="I413" i="1"/>
  <c r="I412" i="1" s="1"/>
  <c r="I411" i="1" s="1"/>
  <c r="I410" i="1" s="1"/>
  <c r="H413" i="1"/>
  <c r="H412" i="1" s="1"/>
  <c r="H411" i="1" s="1"/>
  <c r="H410" i="1" s="1"/>
  <c r="H88" i="1"/>
  <c r="I170" i="1"/>
  <c r="H296" i="1"/>
  <c r="I296" i="1"/>
  <c r="G296" i="1"/>
  <c r="H242" i="1"/>
  <c r="H241" i="1" s="1"/>
  <c r="I242" i="1"/>
  <c r="I241" i="1" s="1"/>
  <c r="G242" i="1"/>
  <c r="G241" i="1" s="1"/>
  <c r="H226" i="1"/>
  <c r="I226" i="1"/>
  <c r="G226" i="1"/>
  <c r="H136" i="1"/>
  <c r="I136" i="1"/>
  <c r="G136" i="1"/>
  <c r="H82" i="1"/>
  <c r="I82" i="1"/>
  <c r="G82" i="1"/>
  <c r="I409" i="1" l="1"/>
  <c r="F56" i="2" s="1"/>
  <c r="H409" i="1"/>
  <c r="E56" i="2" s="1"/>
  <c r="G409" i="1"/>
  <c r="D56" i="2" s="1"/>
  <c r="H170" i="1"/>
  <c r="H447" i="1" l="1"/>
  <c r="I447" i="1"/>
  <c r="G447" i="1"/>
  <c r="H449" i="1"/>
  <c r="I449" i="1"/>
  <c r="G449" i="1"/>
  <c r="H451" i="1"/>
  <c r="I451" i="1"/>
  <c r="G451" i="1"/>
  <c r="H453" i="1"/>
  <c r="I453" i="1"/>
  <c r="G453" i="1"/>
  <c r="G446" i="1" l="1"/>
  <c r="G445" i="1" s="1"/>
  <c r="H446" i="1"/>
  <c r="H445" i="1" s="1"/>
  <c r="I446" i="1"/>
  <c r="I445" i="1" s="1"/>
  <c r="F67" i="7" l="1"/>
  <c r="I66" i="7" s="1"/>
  <c r="E67" i="7"/>
  <c r="H66" i="7" s="1"/>
  <c r="D67" i="7"/>
  <c r="G66" i="7" s="1"/>
  <c r="E245" i="6" l="1"/>
  <c r="E244" i="6" s="1"/>
  <c r="F245" i="6"/>
  <c r="F244" i="6" s="1"/>
  <c r="D245" i="6"/>
  <c r="D244" i="6" s="1"/>
  <c r="E239" i="6" l="1"/>
  <c r="F239" i="6"/>
  <c r="D239" i="6"/>
  <c r="E235" i="6"/>
  <c r="F235" i="6"/>
  <c r="D235" i="6"/>
  <c r="F233" i="6"/>
  <c r="E233" i="6"/>
  <c r="D233" i="6"/>
  <c r="E231" i="6"/>
  <c r="F231" i="6"/>
  <c r="D231" i="6"/>
  <c r="H290" i="1"/>
  <c r="I290" i="1"/>
  <c r="G290" i="1"/>
  <c r="H292" i="1"/>
  <c r="I292" i="1"/>
  <c r="G292" i="1"/>
  <c r="H294" i="1"/>
  <c r="I294" i="1"/>
  <c r="G294" i="1"/>
  <c r="H298" i="1"/>
  <c r="I298" i="1"/>
  <c r="G298" i="1"/>
  <c r="H44" i="1"/>
  <c r="H43" i="1" s="1"/>
  <c r="I44" i="1"/>
  <c r="I43" i="1" s="1"/>
  <c r="F230" i="6" l="1"/>
  <c r="F229" i="6" s="1"/>
  <c r="D230" i="6"/>
  <c r="D229" i="6" s="1"/>
  <c r="E230" i="6"/>
  <c r="E229" i="6" s="1"/>
  <c r="I289" i="1"/>
  <c r="I288" i="1" s="1"/>
  <c r="G289" i="1"/>
  <c r="G288" i="1" s="1"/>
  <c r="H289" i="1"/>
  <c r="H288" i="1" s="1"/>
  <c r="G44" i="1" l="1"/>
  <c r="G43" i="1" s="1"/>
  <c r="D795" i="6" l="1"/>
  <c r="E130" i="6" l="1"/>
  <c r="F130" i="6"/>
  <c r="I194" i="1" l="1"/>
  <c r="I193" i="1" s="1"/>
  <c r="H194" i="1"/>
  <c r="H193" i="1" s="1"/>
  <c r="G194" i="1"/>
  <c r="G193" i="1" s="1"/>
  <c r="E128" i="6" l="1"/>
  <c r="F128" i="6"/>
  <c r="D128" i="6"/>
  <c r="H153" i="1"/>
  <c r="I153" i="1"/>
  <c r="G153" i="1"/>
  <c r="G369" i="1" l="1"/>
  <c r="E573" i="6" l="1"/>
  <c r="E572" i="6" s="1"/>
  <c r="F573" i="6"/>
  <c r="F572" i="6" s="1"/>
  <c r="D573" i="6"/>
  <c r="D572" i="6" s="1"/>
  <c r="E565" i="6"/>
  <c r="F565" i="6"/>
  <c r="D565" i="6"/>
  <c r="E439" i="6"/>
  <c r="E438" i="6" s="1"/>
  <c r="F439" i="6"/>
  <c r="F438" i="6" s="1"/>
  <c r="D439" i="6"/>
  <c r="D438" i="6" s="1"/>
  <c r="E300" i="6"/>
  <c r="F300" i="6"/>
  <c r="D300" i="6"/>
  <c r="H860" i="1" l="1"/>
  <c r="I860" i="1"/>
  <c r="G860" i="1"/>
  <c r="H954" i="1"/>
  <c r="H953" i="1" s="1"/>
  <c r="I954" i="1"/>
  <c r="I953" i="1" s="1"/>
  <c r="G954" i="1"/>
  <c r="G953" i="1" s="1"/>
  <c r="G140" i="1" l="1"/>
  <c r="G170" i="1"/>
  <c r="H260" i="1"/>
  <c r="I260" i="1"/>
  <c r="G260" i="1"/>
  <c r="H258" i="1"/>
  <c r="I258" i="1"/>
  <c r="G258" i="1"/>
  <c r="G257" i="1" l="1"/>
  <c r="G256" i="1" s="1"/>
  <c r="I257" i="1"/>
  <c r="I256" i="1" s="1"/>
  <c r="H257" i="1"/>
  <c r="H256" i="1" s="1"/>
  <c r="H722" i="1" l="1"/>
  <c r="I722" i="1"/>
  <c r="G722" i="1"/>
  <c r="H500" i="1" l="1"/>
  <c r="H499" i="1" s="1"/>
  <c r="I500" i="1"/>
  <c r="I499" i="1" s="1"/>
  <c r="G500" i="1"/>
  <c r="G499" i="1" s="1"/>
  <c r="H492" i="1"/>
  <c r="I492" i="1"/>
  <c r="G492" i="1"/>
  <c r="G488" i="1" l="1"/>
  <c r="H488" i="1"/>
  <c r="I488" i="1"/>
  <c r="H369" i="1"/>
  <c r="I369" i="1"/>
  <c r="H50" i="1" l="1"/>
  <c r="I50" i="1"/>
  <c r="E540" i="6" l="1"/>
  <c r="F540" i="6"/>
  <c r="E542" i="6"/>
  <c r="F542" i="6"/>
  <c r="D542" i="6"/>
  <c r="D540" i="6"/>
  <c r="H676" i="1"/>
  <c r="I676" i="1"/>
  <c r="G676" i="1"/>
  <c r="H678" i="1"/>
  <c r="I678" i="1"/>
  <c r="G678" i="1"/>
  <c r="E451" i="6" l="1"/>
  <c r="E446" i="6" s="1"/>
  <c r="F451" i="6"/>
  <c r="F446" i="6" s="1"/>
  <c r="D451" i="6"/>
  <c r="D446" i="6" s="1"/>
  <c r="H897" i="1"/>
  <c r="H892" i="1" s="1"/>
  <c r="I897" i="1"/>
  <c r="I892" i="1" s="1"/>
  <c r="G897" i="1"/>
  <c r="G892" i="1" s="1"/>
  <c r="H672" i="1" l="1"/>
  <c r="I672" i="1"/>
  <c r="H684" i="1"/>
  <c r="H683" i="1" s="1"/>
  <c r="I684" i="1"/>
  <c r="I683" i="1" s="1"/>
  <c r="G684" i="1"/>
  <c r="G683" i="1" s="1"/>
  <c r="I681" i="1"/>
  <c r="I680" i="1" s="1"/>
  <c r="G681" i="1"/>
  <c r="G680" i="1" s="1"/>
  <c r="H681" i="1"/>
  <c r="H680" i="1" s="1"/>
  <c r="H674" i="1"/>
  <c r="I674" i="1"/>
  <c r="G674" i="1"/>
  <c r="G672" i="1"/>
  <c r="G671" i="1" l="1"/>
  <c r="G670" i="1" s="1"/>
  <c r="G669" i="1" s="1"/>
  <c r="D58" i="7" s="1"/>
  <c r="I671" i="1"/>
  <c r="I670" i="1" s="1"/>
  <c r="I669" i="1" s="1"/>
  <c r="F58" i="7" s="1"/>
  <c r="H671" i="1"/>
  <c r="H670" i="1" s="1"/>
  <c r="H669" i="1" s="1"/>
  <c r="E58" i="7" s="1"/>
  <c r="E375" i="6" l="1"/>
  <c r="E374" i="6" s="1"/>
  <c r="D375" i="6"/>
  <c r="D374" i="6" s="1"/>
  <c r="F375" i="6"/>
  <c r="F374" i="6" s="1"/>
  <c r="E434" i="6" l="1"/>
  <c r="E433" i="6" s="1"/>
  <c r="F434" i="6"/>
  <c r="F433" i="6" s="1"/>
  <c r="D434" i="6"/>
  <c r="D433" i="6" s="1"/>
  <c r="H949" i="1"/>
  <c r="H948" i="1" s="1"/>
  <c r="I949" i="1"/>
  <c r="I948" i="1" s="1"/>
  <c r="G949" i="1"/>
  <c r="G948" i="1" s="1"/>
  <c r="D373" i="6" l="1"/>
  <c r="E373" i="6"/>
  <c r="F373" i="6"/>
  <c r="I164" i="1" l="1"/>
  <c r="H164" i="1"/>
  <c r="G164" i="1"/>
  <c r="E93" i="6" l="1"/>
  <c r="F93" i="6"/>
  <c r="D93" i="6"/>
  <c r="H100" i="1"/>
  <c r="I100" i="1"/>
  <c r="G100" i="1"/>
  <c r="E647" i="6" l="1"/>
  <c r="F647" i="6"/>
  <c r="D647" i="6"/>
  <c r="G433" i="1"/>
  <c r="H433" i="1"/>
  <c r="I433" i="1"/>
  <c r="E319" i="6" l="1"/>
  <c r="E318" i="6" s="1"/>
  <c r="F319" i="6"/>
  <c r="F318" i="6" s="1"/>
  <c r="D319" i="6"/>
  <c r="D318" i="6" s="1"/>
  <c r="E316" i="6"/>
  <c r="F316" i="6"/>
  <c r="D316" i="6"/>
  <c r="E314" i="6"/>
  <c r="F314" i="6"/>
  <c r="D314" i="6"/>
  <c r="E312" i="6"/>
  <c r="F312" i="6"/>
  <c r="D312" i="6"/>
  <c r="H376" i="1"/>
  <c r="I376" i="1"/>
  <c r="G376" i="1"/>
  <c r="H378" i="1"/>
  <c r="I378" i="1"/>
  <c r="G378" i="1"/>
  <c r="H380" i="1"/>
  <c r="I380" i="1"/>
  <c r="G380" i="1"/>
  <c r="H383" i="1"/>
  <c r="H382" i="1" s="1"/>
  <c r="I383" i="1"/>
  <c r="I382" i="1" s="1"/>
  <c r="G383" i="1"/>
  <c r="G382" i="1" s="1"/>
  <c r="G375" i="1" l="1"/>
  <c r="G374" i="1" s="1"/>
  <c r="H375" i="1"/>
  <c r="H374" i="1" s="1"/>
  <c r="I375" i="1"/>
  <c r="I374" i="1" s="1"/>
  <c r="F311" i="6"/>
  <c r="F310" i="6" s="1"/>
  <c r="E311" i="6"/>
  <c r="E310" i="6" s="1"/>
  <c r="D311" i="6"/>
  <c r="D310" i="6" s="1"/>
  <c r="E141" i="6" l="1"/>
  <c r="F141" i="6"/>
  <c r="D141" i="6"/>
  <c r="E150" i="6"/>
  <c r="F150" i="6"/>
  <c r="D150" i="6"/>
  <c r="H167" i="1"/>
  <c r="I167" i="1"/>
  <c r="G167" i="1"/>
  <c r="F147" i="6" l="1"/>
  <c r="E147" i="6"/>
  <c r="D147" i="6"/>
  <c r="E291" i="6"/>
  <c r="F291" i="6"/>
  <c r="D291" i="6"/>
  <c r="H360" i="1"/>
  <c r="I360" i="1"/>
  <c r="G360" i="1"/>
  <c r="E275" i="6"/>
  <c r="E274" i="6" s="1"/>
  <c r="F275" i="6"/>
  <c r="F274" i="6" s="1"/>
  <c r="D275" i="6"/>
  <c r="D274" i="6" s="1"/>
  <c r="H344" i="1"/>
  <c r="H343" i="1" s="1"/>
  <c r="I344" i="1"/>
  <c r="I343" i="1" s="1"/>
  <c r="G344" i="1"/>
  <c r="G343" i="1" s="1"/>
  <c r="F409" i="6"/>
  <c r="F408" i="6" s="1"/>
  <c r="E409" i="6"/>
  <c r="E408" i="6" s="1"/>
  <c r="D409" i="6"/>
  <c r="D408" i="6" s="1"/>
  <c r="G396" i="6" s="1"/>
  <c r="E501" i="6"/>
  <c r="F501" i="6"/>
  <c r="D501" i="6"/>
  <c r="D500" i="6" s="1"/>
  <c r="D499" i="6" s="1"/>
  <c r="H962" i="1"/>
  <c r="I962" i="1"/>
  <c r="G962" i="1"/>
  <c r="I891" i="1" l="1"/>
  <c r="G891" i="1"/>
  <c r="H891" i="1"/>
  <c r="D445" i="6"/>
  <c r="E445" i="6"/>
  <c r="F445" i="6"/>
  <c r="D52" i="7"/>
  <c r="G961" i="1"/>
  <c r="G960" i="1" s="1"/>
  <c r="H961" i="1"/>
  <c r="H960" i="1" s="1"/>
  <c r="I961" i="1"/>
  <c r="I960" i="1" s="1"/>
  <c r="F500" i="6"/>
  <c r="F499" i="6" s="1"/>
  <c r="E500" i="6"/>
  <c r="E499" i="6" s="1"/>
  <c r="F53" i="7" l="1"/>
  <c r="D53" i="7"/>
  <c r="F52" i="7"/>
  <c r="E52" i="7"/>
  <c r="E53" i="7"/>
  <c r="E630" i="6"/>
  <c r="E629" i="6" s="1"/>
  <c r="F630" i="6"/>
  <c r="F629" i="6" s="1"/>
  <c r="D630" i="6"/>
  <c r="D629" i="6" s="1"/>
  <c r="E123" i="6"/>
  <c r="F123" i="6"/>
  <c r="D123" i="6"/>
  <c r="E83" i="6"/>
  <c r="F83" i="6"/>
  <c r="D83" i="6"/>
  <c r="E81" i="6"/>
  <c r="F81" i="6"/>
  <c r="D81" i="6"/>
  <c r="H90" i="1"/>
  <c r="I90" i="1"/>
  <c r="G90" i="1"/>
  <c r="E119" i="6" l="1"/>
  <c r="F119" i="6"/>
  <c r="D119" i="6"/>
  <c r="E800" i="6"/>
  <c r="F800" i="6"/>
  <c r="D800" i="6"/>
  <c r="F795" i="6" l="1"/>
  <c r="E795" i="6"/>
  <c r="E696" i="6"/>
  <c r="F696" i="6"/>
  <c r="D696" i="6"/>
  <c r="E694" i="6"/>
  <c r="F694" i="6"/>
  <c r="D694" i="6"/>
  <c r="E689" i="6"/>
  <c r="E671" i="6"/>
  <c r="E670" i="6" s="1"/>
  <c r="E669" i="6" s="1"/>
  <c r="F671" i="6"/>
  <c r="F670" i="6" s="1"/>
  <c r="F669" i="6" s="1"/>
  <c r="D671" i="6"/>
  <c r="D670" i="6" s="1"/>
  <c r="D669" i="6" s="1"/>
  <c r="E667" i="6"/>
  <c r="F667" i="6"/>
  <c r="D667" i="6"/>
  <c r="E665" i="6"/>
  <c r="F665" i="6"/>
  <c r="D665" i="6"/>
  <c r="E661" i="6"/>
  <c r="F661" i="6"/>
  <c r="D661" i="6"/>
  <c r="E659" i="6"/>
  <c r="F659" i="6"/>
  <c r="D659" i="6"/>
  <c r="E655" i="6"/>
  <c r="F655" i="6"/>
  <c r="D655" i="6"/>
  <c r="E653" i="6"/>
  <c r="F653" i="6"/>
  <c r="D653" i="6"/>
  <c r="E651" i="6"/>
  <c r="F651" i="6"/>
  <c r="D651" i="6"/>
  <c r="E625" i="6"/>
  <c r="E624" i="6" s="1"/>
  <c r="F625" i="6"/>
  <c r="F624" i="6" s="1"/>
  <c r="D625" i="6"/>
  <c r="D624" i="6" s="1"/>
  <c r="E622" i="6"/>
  <c r="E621" i="6" s="1"/>
  <c r="F622" i="6"/>
  <c r="F621" i="6" s="1"/>
  <c r="D622" i="6"/>
  <c r="D621" i="6" s="1"/>
  <c r="E615" i="6"/>
  <c r="F615" i="6"/>
  <c r="D615" i="6"/>
  <c r="E611" i="6"/>
  <c r="F611" i="6"/>
  <c r="D611" i="6"/>
  <c r="E609" i="6"/>
  <c r="F609" i="6"/>
  <c r="D609" i="6"/>
  <c r="E600" i="6"/>
  <c r="F600" i="6"/>
  <c r="D600" i="6"/>
  <c r="E598" i="6"/>
  <c r="F598" i="6"/>
  <c r="D598" i="6"/>
  <c r="E596" i="6"/>
  <c r="D596" i="6"/>
  <c r="E594" i="6"/>
  <c r="F594" i="6"/>
  <c r="D594" i="6"/>
  <c r="E617" i="6"/>
  <c r="F617" i="6"/>
  <c r="D617" i="6"/>
  <c r="F596" i="6"/>
  <c r="F589" i="6"/>
  <c r="F588" i="6" s="1"/>
  <c r="D589" i="6"/>
  <c r="D588" i="6" s="1"/>
  <c r="E586" i="6"/>
  <c r="E585" i="6" s="1"/>
  <c r="F586" i="6"/>
  <c r="F585" i="6" s="1"/>
  <c r="D586" i="6"/>
  <c r="D585" i="6" s="1"/>
  <c r="E570" i="6"/>
  <c r="F570" i="6"/>
  <c r="D570" i="6"/>
  <c r="E568" i="6"/>
  <c r="F568" i="6"/>
  <c r="D568" i="6"/>
  <c r="E548" i="6"/>
  <c r="E547" i="6" s="1"/>
  <c r="F548" i="6"/>
  <c r="F547" i="6" s="1"/>
  <c r="D548" i="6"/>
  <c r="D547" i="6" s="1"/>
  <c r="E545" i="6"/>
  <c r="E544" i="6" s="1"/>
  <c r="F545" i="6"/>
  <c r="F544" i="6" s="1"/>
  <c r="D545" i="6"/>
  <c r="D544" i="6" s="1"/>
  <c r="E538" i="6"/>
  <c r="F538" i="6"/>
  <c r="D538" i="6"/>
  <c r="E536" i="6"/>
  <c r="F536" i="6"/>
  <c r="D536" i="6"/>
  <c r="E589" i="6"/>
  <c r="E588" i="6" s="1"/>
  <c r="D700" i="6"/>
  <c r="D699" i="6" s="1"/>
  <c r="E700" i="6"/>
  <c r="E699" i="6" s="1"/>
  <c r="F700" i="6"/>
  <c r="F699" i="6" s="1"/>
  <c r="D703" i="6"/>
  <c r="D702" i="6" s="1"/>
  <c r="E703" i="6"/>
  <c r="E702" i="6" s="1"/>
  <c r="F703" i="6"/>
  <c r="F702" i="6" s="1"/>
  <c r="D712" i="6"/>
  <c r="D711" i="6" s="1"/>
  <c r="D710" i="6" s="1"/>
  <c r="E712" i="6"/>
  <c r="E711" i="6" s="1"/>
  <c r="E710" i="6" s="1"/>
  <c r="F712" i="6"/>
  <c r="F711" i="6" s="1"/>
  <c r="F710" i="6" s="1"/>
  <c r="D593" i="6" l="1"/>
  <c r="D693" i="6"/>
  <c r="E693" i="6"/>
  <c r="E688" i="6" s="1"/>
  <c r="E593" i="6"/>
  <c r="F693" i="6"/>
  <c r="F593" i="6"/>
  <c r="F650" i="6"/>
  <c r="F649" i="6" s="1"/>
  <c r="D650" i="6"/>
  <c r="D649" i="6" s="1"/>
  <c r="E650" i="6"/>
  <c r="E649" i="6" s="1"/>
  <c r="F664" i="6"/>
  <c r="F663" i="6" s="1"/>
  <c r="D664" i="6"/>
  <c r="D663" i="6" s="1"/>
  <c r="E664" i="6"/>
  <c r="E663" i="6" s="1"/>
  <c r="E674" i="6"/>
  <c r="E673" i="6" s="1"/>
  <c r="F674" i="6"/>
  <c r="F673" i="6" s="1"/>
  <c r="D561" i="6"/>
  <c r="E561" i="6"/>
  <c r="F561" i="6"/>
  <c r="D535" i="6"/>
  <c r="D534" i="6" s="1"/>
  <c r="E535" i="6"/>
  <c r="E534" i="6" s="1"/>
  <c r="F535" i="6"/>
  <c r="F534" i="6" s="1"/>
  <c r="F620" i="6"/>
  <c r="E620" i="6"/>
  <c r="E619" i="6" s="1"/>
  <c r="E62" i="7" s="1"/>
  <c r="D620" i="6"/>
  <c r="F689" i="6"/>
  <c r="D689" i="6"/>
  <c r="D674" i="6"/>
  <c r="D673" i="6" s="1"/>
  <c r="F644" i="6"/>
  <c r="F643" i="6" s="1"/>
  <c r="D644" i="6"/>
  <c r="D643" i="6" s="1"/>
  <c r="E644" i="6"/>
  <c r="E643" i="6" s="1"/>
  <c r="D608" i="6"/>
  <c r="F608" i="6"/>
  <c r="F552" i="6"/>
  <c r="E608" i="6"/>
  <c r="D614" i="6"/>
  <c r="D613" i="6" s="1"/>
  <c r="E614" i="6"/>
  <c r="E613" i="6" s="1"/>
  <c r="F614" i="6"/>
  <c r="F613" i="6" s="1"/>
  <c r="E552" i="6"/>
  <c r="F556" i="6"/>
  <c r="D552" i="6"/>
  <c r="D556" i="6"/>
  <c r="D584" i="6"/>
  <c r="E556" i="6"/>
  <c r="E584" i="6"/>
  <c r="E567" i="6"/>
  <c r="E706" i="6"/>
  <c r="E705" i="6" s="1"/>
  <c r="E698" i="6" s="1"/>
  <c r="D567" i="6"/>
  <c r="F567" i="6"/>
  <c r="F584" i="6"/>
  <c r="F706" i="6"/>
  <c r="F705" i="6" s="1"/>
  <c r="F698" i="6" s="1"/>
  <c r="D706" i="6"/>
  <c r="D705" i="6" s="1"/>
  <c r="D698" i="6" s="1"/>
  <c r="D715" i="6"/>
  <c r="D714" i="6" s="1"/>
  <c r="E522" i="6"/>
  <c r="F522" i="6"/>
  <c r="D522" i="6"/>
  <c r="E520" i="6"/>
  <c r="F520" i="6"/>
  <c r="D520" i="6"/>
  <c r="E518" i="6"/>
  <c r="D518" i="6"/>
  <c r="E517" i="6" l="1"/>
  <c r="D517" i="6"/>
  <c r="D516" i="6" s="1"/>
  <c r="D688" i="6"/>
  <c r="D560" i="6"/>
  <c r="D592" i="6"/>
  <c r="D591" i="6" s="1"/>
  <c r="D59" i="7" s="1"/>
  <c r="F642" i="6"/>
  <c r="F641" i="6" s="1"/>
  <c r="F64" i="7" s="1"/>
  <c r="E642" i="6"/>
  <c r="E641" i="6" s="1"/>
  <c r="E64" i="7" s="1"/>
  <c r="D642" i="6"/>
  <c r="D641" i="6" s="1"/>
  <c r="D64" i="7" s="1"/>
  <c r="D619" i="6"/>
  <c r="D62" i="7" s="1"/>
  <c r="E560" i="6"/>
  <c r="F560" i="6"/>
  <c r="D551" i="6"/>
  <c r="D550" i="6" s="1"/>
  <c r="F619" i="6"/>
  <c r="F62" i="7" s="1"/>
  <c r="F688" i="6"/>
  <c r="F551" i="6"/>
  <c r="F550" i="6" s="1"/>
  <c r="F592" i="6"/>
  <c r="F591" i="6" s="1"/>
  <c r="F59" i="7" s="1"/>
  <c r="E592" i="6"/>
  <c r="E591" i="6" s="1"/>
  <c r="E59" i="7" s="1"/>
  <c r="E551" i="6"/>
  <c r="E550" i="6" s="1"/>
  <c r="E516" i="6"/>
  <c r="E492" i="6"/>
  <c r="E491" i="6" s="1"/>
  <c r="F492" i="6"/>
  <c r="F491" i="6" s="1"/>
  <c r="D492" i="6"/>
  <c r="D491" i="6" s="1"/>
  <c r="F488" i="6" l="1"/>
  <c r="F487" i="6" s="1"/>
  <c r="E484" i="6"/>
  <c r="E488" i="6"/>
  <c r="E487" i="6" s="1"/>
  <c r="D484" i="6"/>
  <c r="F484" i="6"/>
  <c r="D488" i="6"/>
  <c r="D487" i="6" s="1"/>
  <c r="D495" i="6"/>
  <c r="D494" i="6" s="1"/>
  <c r="F495" i="6"/>
  <c r="F494" i="6" s="1"/>
  <c r="E495" i="6"/>
  <c r="E494" i="6" s="1"/>
  <c r="E431" i="6"/>
  <c r="F431" i="6"/>
  <c r="D431" i="6"/>
  <c r="E429" i="6"/>
  <c r="F429" i="6"/>
  <c r="D429" i="6"/>
  <c r="E419" i="6"/>
  <c r="F419" i="6"/>
  <c r="D419" i="6"/>
  <c r="E417" i="6"/>
  <c r="F417" i="6"/>
  <c r="D417" i="6"/>
  <c r="E413" i="6"/>
  <c r="F413" i="6"/>
  <c r="D413" i="6"/>
  <c r="E404" i="6"/>
  <c r="E403" i="6" s="1"/>
  <c r="F404" i="6"/>
  <c r="F403" i="6" s="1"/>
  <c r="D404" i="6"/>
  <c r="D403" i="6" s="1"/>
  <c r="E396" i="6"/>
  <c r="H396" i="6" s="1"/>
  <c r="F396" i="6"/>
  <c r="I396" i="6" s="1"/>
  <c r="D388" i="6"/>
  <c r="E386" i="6"/>
  <c r="F386" i="6"/>
  <c r="D386" i="6"/>
  <c r="E384" i="6"/>
  <c r="F384" i="6"/>
  <c r="D384" i="6"/>
  <c r="E382" i="6"/>
  <c r="F382" i="6"/>
  <c r="D382" i="6"/>
  <c r="E371" i="6"/>
  <c r="E370" i="6" s="1"/>
  <c r="E369" i="6" s="1"/>
  <c r="F371" i="6"/>
  <c r="F370" i="6" s="1"/>
  <c r="F369" i="6" s="1"/>
  <c r="D371" i="6"/>
  <c r="D370" i="6" s="1"/>
  <c r="D369" i="6" s="1"/>
  <c r="E366" i="6"/>
  <c r="E365" i="6" s="1"/>
  <c r="F366" i="6"/>
  <c r="F365" i="6" s="1"/>
  <c r="D366" i="6"/>
  <c r="D365" i="6" s="1"/>
  <c r="E363" i="6"/>
  <c r="F363" i="6"/>
  <c r="D363" i="6"/>
  <c r="E361" i="6"/>
  <c r="F361" i="6"/>
  <c r="D361" i="6"/>
  <c r="E359" i="6"/>
  <c r="F359" i="6"/>
  <c r="D359" i="6"/>
  <c r="D355" i="6"/>
  <c r="D354" i="6" s="1"/>
  <c r="D353" i="6" s="1"/>
  <c r="E345" i="6"/>
  <c r="E344" i="6" s="1"/>
  <c r="D345" i="6"/>
  <c r="D344" i="6" s="1"/>
  <c r="E342" i="6"/>
  <c r="E341" i="6" s="1"/>
  <c r="E339" i="6"/>
  <c r="F339" i="6"/>
  <c r="D339" i="6"/>
  <c r="E337" i="6"/>
  <c r="D337" i="6"/>
  <c r="E335" i="6"/>
  <c r="E333" i="6"/>
  <c r="F333" i="6"/>
  <c r="D333" i="6"/>
  <c r="F355" i="6"/>
  <c r="F354" i="6" s="1"/>
  <c r="F353" i="6" s="1"/>
  <c r="E355" i="6"/>
  <c r="E354" i="6" s="1"/>
  <c r="E353" i="6" s="1"/>
  <c r="F345" i="6"/>
  <c r="F344" i="6" s="1"/>
  <c r="F342" i="6"/>
  <c r="F341" i="6" s="1"/>
  <c r="D342" i="6"/>
  <c r="D341" i="6" s="1"/>
  <c r="F337" i="6"/>
  <c r="F335" i="6"/>
  <c r="D335" i="6"/>
  <c r="F326" i="6"/>
  <c r="F325" i="6" s="1"/>
  <c r="E305" i="6"/>
  <c r="E304" i="6" s="1"/>
  <c r="F305" i="6"/>
  <c r="F304" i="6" s="1"/>
  <c r="D305" i="6"/>
  <c r="D304" i="6" s="1"/>
  <c r="E296" i="6"/>
  <c r="F296" i="6"/>
  <c r="D296" i="6"/>
  <c r="E289" i="6"/>
  <c r="D289" i="6"/>
  <c r="E287" i="6"/>
  <c r="F287" i="6"/>
  <c r="D287" i="6"/>
  <c r="E283" i="6"/>
  <c r="F283" i="6"/>
  <c r="D283" i="6"/>
  <c r="E281" i="6"/>
  <c r="F281" i="6"/>
  <c r="D281" i="6"/>
  <c r="E279" i="6"/>
  <c r="F279" i="6"/>
  <c r="D279" i="6"/>
  <c r="E272" i="6"/>
  <c r="F272" i="6"/>
  <c r="D272" i="6"/>
  <c r="E270" i="6"/>
  <c r="F270" i="6"/>
  <c r="D270" i="6"/>
  <c r="E268" i="6"/>
  <c r="F268" i="6"/>
  <c r="D268" i="6"/>
  <c r="E264" i="6"/>
  <c r="F264" i="6"/>
  <c r="D264" i="6"/>
  <c r="E262" i="6"/>
  <c r="F262" i="6"/>
  <c r="D262" i="6"/>
  <c r="D260" i="6"/>
  <c r="F289" i="6"/>
  <c r="E254" i="6"/>
  <c r="E253" i="6" s="1"/>
  <c r="F254" i="6"/>
  <c r="F253" i="6" s="1"/>
  <c r="D254" i="6"/>
  <c r="D253" i="6" s="1"/>
  <c r="E227" i="6"/>
  <c r="F227" i="6"/>
  <c r="D227" i="6"/>
  <c r="E225" i="6"/>
  <c r="F225" i="6"/>
  <c r="D225" i="6"/>
  <c r="E222" i="6"/>
  <c r="E221" i="6" s="1"/>
  <c r="F222" i="6"/>
  <c r="F221" i="6" s="1"/>
  <c r="D222" i="6"/>
  <c r="D221" i="6" s="1"/>
  <c r="E219" i="6"/>
  <c r="F219" i="6"/>
  <c r="D219" i="6"/>
  <c r="E217" i="6"/>
  <c r="F217" i="6"/>
  <c r="D217" i="6"/>
  <c r="E214" i="6"/>
  <c r="E213" i="6" s="1"/>
  <c r="F214" i="6"/>
  <c r="F213" i="6" s="1"/>
  <c r="D214" i="6"/>
  <c r="D213" i="6" s="1"/>
  <c r="E186" i="6"/>
  <c r="D186" i="6"/>
  <c r="E184" i="6"/>
  <c r="F184" i="6"/>
  <c r="D184" i="6"/>
  <c r="E180" i="6"/>
  <c r="F180" i="6"/>
  <c r="D180" i="6"/>
  <c r="E178" i="6"/>
  <c r="F178" i="6"/>
  <c r="D178" i="6"/>
  <c r="E176" i="6"/>
  <c r="F176" i="6"/>
  <c r="D176" i="6"/>
  <c r="F186" i="6"/>
  <c r="E155" i="6"/>
  <c r="E154" i="6" s="1"/>
  <c r="F155" i="6"/>
  <c r="F154" i="6" s="1"/>
  <c r="D155" i="6"/>
  <c r="D154" i="6" s="1"/>
  <c r="E139" i="6"/>
  <c r="E138" i="6" s="1"/>
  <c r="F139" i="6"/>
  <c r="F138" i="6" s="1"/>
  <c r="D139" i="6"/>
  <c r="D138" i="6" s="1"/>
  <c r="E136" i="6"/>
  <c r="F136" i="6"/>
  <c r="D136" i="6"/>
  <c r="E134" i="6"/>
  <c r="F134" i="6"/>
  <c r="D134" i="6"/>
  <c r="E126" i="6"/>
  <c r="E125" i="6" s="1"/>
  <c r="F126" i="6"/>
  <c r="F125" i="6" s="1"/>
  <c r="D126" i="6"/>
  <c r="D125" i="6" s="1"/>
  <c r="E113" i="6"/>
  <c r="F113" i="6"/>
  <c r="D113" i="6"/>
  <c r="E109" i="6"/>
  <c r="F109" i="6"/>
  <c r="D109" i="6"/>
  <c r="E107" i="6"/>
  <c r="F107" i="6"/>
  <c r="D107" i="6"/>
  <c r="E105" i="6"/>
  <c r="F105" i="6"/>
  <c r="D105" i="6"/>
  <c r="E91" i="6"/>
  <c r="E90" i="6" s="1"/>
  <c r="F91" i="6"/>
  <c r="F90" i="6" s="1"/>
  <c r="D91" i="6"/>
  <c r="D90" i="6" s="1"/>
  <c r="D77" i="6"/>
  <c r="E73" i="6"/>
  <c r="F73" i="6"/>
  <c r="D73" i="6"/>
  <c r="E71" i="6"/>
  <c r="F71" i="6"/>
  <c r="D71" i="6"/>
  <c r="E69" i="6"/>
  <c r="F69" i="6"/>
  <c r="D69" i="6"/>
  <c r="E67" i="6"/>
  <c r="F67" i="6"/>
  <c r="D67" i="6"/>
  <c r="F77" i="6"/>
  <c r="E77" i="6"/>
  <c r="E45" i="6"/>
  <c r="E41" i="6" s="1"/>
  <c r="F45" i="6"/>
  <c r="D45" i="6"/>
  <c r="D41" i="6" s="1"/>
  <c r="D40" i="6" s="1"/>
  <c r="D23" i="7" s="1"/>
  <c r="G23" i="7" s="1"/>
  <c r="E34" i="6"/>
  <c r="E33" i="6" s="1"/>
  <c r="F34" i="6"/>
  <c r="D34" i="6"/>
  <c r="D33" i="6" s="1"/>
  <c r="E25" i="6"/>
  <c r="E24" i="6" s="1"/>
  <c r="E23" i="6" s="1"/>
  <c r="F25" i="6"/>
  <c r="F24" i="6" s="1"/>
  <c r="F23" i="6" s="1"/>
  <c r="D25" i="6"/>
  <c r="D24" i="6" s="1"/>
  <c r="D23" i="6" s="1"/>
  <c r="D32" i="6" l="1"/>
  <c r="D21" i="7" s="1"/>
  <c r="E32" i="6"/>
  <c r="E21" i="7" s="1"/>
  <c r="D412" i="6"/>
  <c r="F412" i="6"/>
  <c r="E412" i="6"/>
  <c r="E278" i="6"/>
  <c r="E277" i="6" s="1"/>
  <c r="F278" i="6"/>
  <c r="F277" i="6" s="1"/>
  <c r="D278" i="6"/>
  <c r="D277" i="6" s="1"/>
  <c r="F259" i="6"/>
  <c r="F258" i="6" s="1"/>
  <c r="F257" i="6" s="1"/>
  <c r="D259" i="6"/>
  <c r="D258" i="6" s="1"/>
  <c r="D257" i="6" s="1"/>
  <c r="E259" i="6"/>
  <c r="E258" i="6" s="1"/>
  <c r="E257" i="6" s="1"/>
  <c r="D66" i="6"/>
  <c r="F66" i="6"/>
  <c r="E66" i="6"/>
  <c r="F41" i="6"/>
  <c r="E40" i="6"/>
  <c r="E23" i="7" s="1"/>
  <c r="H23" i="7" s="1"/>
  <c r="F368" i="6"/>
  <c r="F44" i="7" s="1"/>
  <c r="D368" i="6"/>
  <c r="D44" i="7" s="1"/>
  <c r="E368" i="6"/>
  <c r="E44" i="7" s="1"/>
  <c r="D104" i="6"/>
  <c r="E104" i="6"/>
  <c r="F104" i="6"/>
  <c r="D175" i="6"/>
  <c r="E175" i="6"/>
  <c r="F175" i="6"/>
  <c r="F33" i="6"/>
  <c r="F40" i="6"/>
  <c r="F23" i="7" s="1"/>
  <c r="I23" i="7" s="1"/>
  <c r="F209" i="6"/>
  <c r="F204" i="6" s="1"/>
  <c r="F224" i="6"/>
  <c r="E209" i="6"/>
  <c r="E204" i="6" s="1"/>
  <c r="D224" i="6"/>
  <c r="E224" i="6"/>
  <c r="D115" i="6"/>
  <c r="F115" i="6"/>
  <c r="E115" i="6"/>
  <c r="D144" i="6"/>
  <c r="D143" i="6" s="1"/>
  <c r="E144" i="6"/>
  <c r="E143" i="6" s="1"/>
  <c r="F144" i="6"/>
  <c r="F143" i="6" s="1"/>
  <c r="F483" i="6"/>
  <c r="F482" i="6" s="1"/>
  <c r="F50" i="7" s="1"/>
  <c r="E483" i="6"/>
  <c r="E482" i="6" s="1"/>
  <c r="E50" i="7" s="1"/>
  <c r="D483" i="6"/>
  <c r="D482" i="6" s="1"/>
  <c r="D50" i="7" s="1"/>
  <c r="F428" i="6"/>
  <c r="F474" i="6"/>
  <c r="E474" i="6"/>
  <c r="D474" i="6"/>
  <c r="D428" i="6"/>
  <c r="E428" i="6"/>
  <c r="D381" i="6"/>
  <c r="D380" i="6" s="1"/>
  <c r="D379" i="6" s="1"/>
  <c r="D46" i="7" s="1"/>
  <c r="F358" i="6"/>
  <c r="F357" i="6" s="1"/>
  <c r="F42" i="7" s="1"/>
  <c r="E358" i="6"/>
  <c r="E357" i="6" s="1"/>
  <c r="E42" i="7" s="1"/>
  <c r="D358" i="6"/>
  <c r="D357" i="6" s="1"/>
  <c r="D42" i="7" s="1"/>
  <c r="F349" i="6"/>
  <c r="F348" i="6" s="1"/>
  <c r="F347" i="6" s="1"/>
  <c r="E349" i="6"/>
  <c r="E348" i="6" s="1"/>
  <c r="E347" i="6" s="1"/>
  <c r="D349" i="6"/>
  <c r="D348" i="6" s="1"/>
  <c r="D347" i="6" s="1"/>
  <c r="D332" i="6"/>
  <c r="F332" i="6"/>
  <c r="E332" i="6"/>
  <c r="D216" i="6"/>
  <c r="D326" i="6"/>
  <c r="D325" i="6" s="1"/>
  <c r="E326" i="6"/>
  <c r="E325" i="6" s="1"/>
  <c r="F252" i="6"/>
  <c r="F34" i="7" s="1"/>
  <c r="E252" i="6"/>
  <c r="E34" i="7" s="1"/>
  <c r="D252" i="6"/>
  <c r="D34" i="7" s="1"/>
  <c r="F216" i="6"/>
  <c r="E216" i="6"/>
  <c r="D209" i="6"/>
  <c r="D204" i="6" s="1"/>
  <c r="E133" i="6"/>
  <c r="D133" i="6"/>
  <c r="F133" i="6"/>
  <c r="D29" i="6"/>
  <c r="D28" i="6" s="1"/>
  <c r="D27" i="6" s="1"/>
  <c r="D22" i="6" s="1"/>
  <c r="D19" i="7" s="1"/>
  <c r="F29" i="6"/>
  <c r="F28" i="6" s="1"/>
  <c r="F27" i="6" s="1"/>
  <c r="F22" i="6" s="1"/>
  <c r="F19" i="7" s="1"/>
  <c r="E29" i="6"/>
  <c r="E28" i="6" s="1"/>
  <c r="E27" i="6" s="1"/>
  <c r="E22" i="6" s="1"/>
  <c r="E19" i="7" s="1"/>
  <c r="H989" i="1"/>
  <c r="I989" i="1"/>
  <c r="G989" i="1"/>
  <c r="H928" i="1"/>
  <c r="I928" i="1"/>
  <c r="G928" i="1"/>
  <c r="H932" i="1"/>
  <c r="I932" i="1"/>
  <c r="G932" i="1"/>
  <c r="I946" i="1"/>
  <c r="H946" i="1"/>
  <c r="G946" i="1"/>
  <c r="H944" i="1"/>
  <c r="I944" i="1"/>
  <c r="G944" i="1"/>
  <c r="H877" i="1"/>
  <c r="H876" i="1" s="1"/>
  <c r="H864" i="1" s="1"/>
  <c r="I877" i="1"/>
  <c r="I876" i="1" s="1"/>
  <c r="I864" i="1" s="1"/>
  <c r="F103" i="6" l="1"/>
  <c r="D103" i="6"/>
  <c r="E103" i="6"/>
  <c r="F32" i="6"/>
  <c r="F21" i="7" s="1"/>
  <c r="E174" i="6"/>
  <c r="E173" i="6" s="1"/>
  <c r="F174" i="6"/>
  <c r="F173" i="6" s="1"/>
  <c r="D174" i="6"/>
  <c r="D173" i="6" s="1"/>
  <c r="E65" i="6"/>
  <c r="E64" i="6" s="1"/>
  <c r="D65" i="6"/>
  <c r="D64" i="6" s="1"/>
  <c r="F65" i="6"/>
  <c r="F64" i="6" s="1"/>
  <c r="E256" i="6"/>
  <c r="E36" i="7" s="1"/>
  <c r="D203" i="6"/>
  <c r="E203" i="6"/>
  <c r="F203" i="6"/>
  <c r="F102" i="6"/>
  <c r="D102" i="6"/>
  <c r="E102" i="6"/>
  <c r="F256" i="6"/>
  <c r="F36" i="7" s="1"/>
  <c r="E331" i="6"/>
  <c r="E330" i="6" s="1"/>
  <c r="E40" i="7" s="1"/>
  <c r="I943" i="1"/>
  <c r="D256" i="6"/>
  <c r="D36" i="7" s="1"/>
  <c r="H943" i="1"/>
  <c r="D411" i="6"/>
  <c r="E411" i="6"/>
  <c r="F473" i="6"/>
  <c r="F472" i="6" s="1"/>
  <c r="D473" i="6"/>
  <c r="D472" i="6" s="1"/>
  <c r="F411" i="6"/>
  <c r="E473" i="6"/>
  <c r="E472" i="6" s="1"/>
  <c r="G890" i="1"/>
  <c r="G889" i="1" s="1"/>
  <c r="F391" i="6"/>
  <c r="E391" i="6"/>
  <c r="D391" i="6"/>
  <c r="G52" i="7"/>
  <c r="H52" i="7"/>
  <c r="I52" i="7"/>
  <c r="G943" i="1"/>
  <c r="G988" i="1"/>
  <c r="G987" i="1" s="1"/>
  <c r="H988" i="1"/>
  <c r="H987" i="1" s="1"/>
  <c r="I988" i="1"/>
  <c r="I987" i="1" s="1"/>
  <c r="F331" i="6"/>
  <c r="F330" i="6" s="1"/>
  <c r="F40" i="7" s="1"/>
  <c r="D331" i="6"/>
  <c r="D330" i="6" s="1"/>
  <c r="D40" i="7" s="1"/>
  <c r="F806" i="6"/>
  <c r="F804" i="6"/>
  <c r="F798" i="6"/>
  <c r="F779" i="6"/>
  <c r="F766" i="6"/>
  <c r="F759" i="6"/>
  <c r="F757" i="6"/>
  <c r="F746" i="6"/>
  <c r="F744" i="6"/>
  <c r="F742" i="6"/>
  <c r="F737" i="6"/>
  <c r="F735" i="6"/>
  <c r="F732" i="6"/>
  <c r="F731" i="6" s="1"/>
  <c r="F723" i="6"/>
  <c r="F722" i="6" s="1"/>
  <c r="E806" i="6"/>
  <c r="E804" i="6"/>
  <c r="E798" i="6"/>
  <c r="E779" i="6"/>
  <c r="E766" i="6"/>
  <c r="E759" i="6"/>
  <c r="E757" i="6"/>
  <c r="E746" i="6"/>
  <c r="E744" i="6"/>
  <c r="E742" i="6"/>
  <c r="E737" i="6"/>
  <c r="E735" i="6"/>
  <c r="E732" i="6"/>
  <c r="E731" i="6" s="1"/>
  <c r="E723" i="6"/>
  <c r="E722" i="6" s="1"/>
  <c r="D63" i="6" l="1"/>
  <c r="D32" i="7" s="1"/>
  <c r="D390" i="6"/>
  <c r="D48" i="7" s="1"/>
  <c r="D38" i="2"/>
  <c r="E390" i="6"/>
  <c r="F390" i="6"/>
  <c r="F48" i="7" s="1"/>
  <c r="E730" i="6"/>
  <c r="F730" i="6"/>
  <c r="E48" i="7"/>
  <c r="F63" i="6"/>
  <c r="F32" i="7" s="1"/>
  <c r="E63" i="6"/>
  <c r="E32" i="7" s="1"/>
  <c r="I986" i="1"/>
  <c r="I979" i="1" s="1"/>
  <c r="F40" i="2" s="1"/>
  <c r="G986" i="1"/>
  <c r="G979" i="1" s="1"/>
  <c r="D40" i="2" s="1"/>
  <c r="H986" i="1"/>
  <c r="H979" i="1" s="1"/>
  <c r="E40" i="2" s="1"/>
  <c r="E754" i="6"/>
  <c r="F726" i="6"/>
  <c r="F725" i="6" s="1"/>
  <c r="F721" i="6" s="1"/>
  <c r="F754" i="6"/>
  <c r="E739" i="6"/>
  <c r="E734" i="6" s="1"/>
  <c r="E748" i="6"/>
  <c r="F748" i="6"/>
  <c r="E726" i="6"/>
  <c r="E725" i="6" s="1"/>
  <c r="E721" i="6" s="1"/>
  <c r="E769" i="6"/>
  <c r="E768" i="6" s="1"/>
  <c r="F769" i="6"/>
  <c r="F768" i="6" s="1"/>
  <c r="E761" i="6"/>
  <c r="F739" i="6"/>
  <c r="F734" i="6" s="1"/>
  <c r="F761" i="6"/>
  <c r="F753" i="6" l="1"/>
  <c r="E753" i="6"/>
  <c r="H175" i="1"/>
  <c r="I175" i="1"/>
  <c r="G175" i="1"/>
  <c r="F388" i="6" l="1"/>
  <c r="F381" i="6" s="1"/>
  <c r="F380" i="6" s="1"/>
  <c r="F379" i="6" s="1"/>
  <c r="F46" i="7" s="1"/>
  <c r="E388" i="6"/>
  <c r="E381" i="6" s="1"/>
  <c r="E380" i="6" s="1"/>
  <c r="E379" i="6" s="1"/>
  <c r="E46" i="7" s="1"/>
  <c r="F582" i="6" l="1"/>
  <c r="F581" i="6" s="1"/>
  <c r="F577" i="6" s="1"/>
  <c r="E582" i="6"/>
  <c r="E581" i="6" s="1"/>
  <c r="E577" i="6" s="1"/>
  <c r="D582" i="6"/>
  <c r="D581" i="6" s="1"/>
  <c r="D577" i="6" s="1"/>
  <c r="E533" i="6" l="1"/>
  <c r="E56" i="7" s="1"/>
  <c r="D533" i="6"/>
  <c r="D56" i="7" s="1"/>
  <c r="F533" i="6"/>
  <c r="F56" i="7" s="1"/>
  <c r="I815" i="1"/>
  <c r="H815" i="1"/>
  <c r="F518" i="6"/>
  <c r="F517" i="6" s="1"/>
  <c r="I690" i="1"/>
  <c r="I689" i="1" s="1"/>
  <c r="I358" i="1"/>
  <c r="H358" i="1"/>
  <c r="I339" i="1"/>
  <c r="H339" i="1"/>
  <c r="I315" i="1"/>
  <c r="I314" i="1" s="1"/>
  <c r="H315" i="1"/>
  <c r="H314" i="1" s="1"/>
  <c r="I230" i="1"/>
  <c r="I163" i="1" s="1"/>
  <c r="H230" i="1"/>
  <c r="H163" i="1" s="1"/>
  <c r="I151" i="1"/>
  <c r="I150" i="1" s="1"/>
  <c r="H151" i="1"/>
  <c r="H150" i="1" s="1"/>
  <c r="I148" i="1"/>
  <c r="I98" i="1"/>
  <c r="I97" i="1" s="1"/>
  <c r="H98" i="1"/>
  <c r="H97" i="1" s="1"/>
  <c r="I144" i="1"/>
  <c r="I88" i="1" s="1"/>
  <c r="H890" i="1" l="1"/>
  <c r="H889" i="1" s="1"/>
  <c r="I890" i="1"/>
  <c r="I889" i="1" s="1"/>
  <c r="F516" i="6"/>
  <c r="I286" i="1"/>
  <c r="I281" i="1" s="1"/>
  <c r="I278" i="1" s="1"/>
  <c r="I709" i="1" s="1"/>
  <c r="I708" i="1" s="1"/>
  <c r="I726" i="1"/>
  <c r="I793" i="1"/>
  <c r="H391" i="1"/>
  <c r="H286" i="1"/>
  <c r="H281" i="1" s="1"/>
  <c r="H278" i="1" s="1"/>
  <c r="H709" i="1" s="1"/>
  <c r="H708" i="1" s="1"/>
  <c r="H690" i="1"/>
  <c r="H689" i="1" s="1"/>
  <c r="H707" i="1" l="1"/>
  <c r="I707" i="1"/>
  <c r="E38" i="2"/>
  <c r="F38" i="2"/>
  <c r="E22" i="7"/>
  <c r="F22" i="7"/>
  <c r="I391" i="1"/>
  <c r="H726" i="1"/>
  <c r="H793" i="1"/>
  <c r="I706" i="1" l="1"/>
  <c r="F33" i="2" s="1"/>
  <c r="H706" i="1"/>
  <c r="E33" i="2" s="1"/>
  <c r="I795" i="1"/>
  <c r="I791" i="1" s="1"/>
  <c r="H795" i="1"/>
  <c r="H791" i="1" s="1"/>
  <c r="H148" i="1"/>
  <c r="H144" i="1" s="1"/>
  <c r="I667" i="1"/>
  <c r="H205" i="1"/>
  <c r="H204" i="1" s="1"/>
  <c r="H667" i="1" l="1"/>
  <c r="I205" i="1"/>
  <c r="I204" i="1" s="1"/>
  <c r="H118" i="1"/>
  <c r="I118" i="1" l="1"/>
  <c r="D798" i="6" l="1"/>
  <c r="D789" i="6" s="1"/>
  <c r="G230" i="1" l="1"/>
  <c r="G163" i="1" l="1"/>
  <c r="G286" i="1" l="1"/>
  <c r="G358" i="1"/>
  <c r="G339" i="1" s="1"/>
  <c r="G281" i="1" l="1"/>
  <c r="D757" i="6"/>
  <c r="G315" i="1"/>
  <c r="G314" i="1" s="1"/>
  <c r="G391" i="1" l="1"/>
  <c r="G151" i="1"/>
  <c r="G150" i="1" s="1"/>
  <c r="G98" i="1" l="1"/>
  <c r="G97" i="1" s="1"/>
  <c r="G278" i="1"/>
  <c r="G709" i="1" s="1"/>
  <c r="G708" i="1" s="1"/>
  <c r="G707" i="1" l="1"/>
  <c r="G706" i="1" s="1"/>
  <c r="G205" i="1"/>
  <c r="G204" i="1" s="1"/>
  <c r="D33" i="2" l="1"/>
  <c r="D22" i="7"/>
  <c r="G795" i="1"/>
  <c r="G791" i="1"/>
  <c r="G118" i="1"/>
  <c r="G793" i="1" l="1"/>
  <c r="D735" i="6" l="1"/>
  <c r="D754" i="6"/>
  <c r="G161" i="1" l="1"/>
  <c r="D742" i="6"/>
  <c r="G536" i="1" l="1"/>
  <c r="D806" i="6" l="1"/>
  <c r="G815" i="1" l="1"/>
  <c r="G690" i="1" l="1"/>
  <c r="G689" i="1" s="1"/>
  <c r="D744" i="6"/>
  <c r="G148" i="1" l="1"/>
  <c r="G144" i="1" l="1"/>
  <c r="G88" i="1" l="1"/>
  <c r="G726" i="1" l="1"/>
  <c r="G667" i="1" l="1"/>
  <c r="D804" i="6"/>
  <c r="G40" i="1" l="1"/>
  <c r="G39" i="1" s="1"/>
  <c r="G38" i="1" s="1"/>
  <c r="G37" i="1" s="1"/>
  <c r="D26" i="2" s="1"/>
  <c r="G61" i="1"/>
  <c r="G60" i="1" s="1"/>
  <c r="G817" i="1"/>
  <c r="G814" i="1" s="1"/>
  <c r="G48" i="1"/>
  <c r="G516" i="1"/>
  <c r="G515" i="1" s="1"/>
  <c r="G509" i="1"/>
  <c r="G508" i="1" s="1"/>
  <c r="G504" i="1" s="1"/>
  <c r="G50" i="1"/>
  <c r="G592" i="1"/>
  <c r="G591" i="1" s="1"/>
  <c r="G587" i="1"/>
  <c r="G586" i="1" s="1"/>
  <c r="G700" i="1"/>
  <c r="G697" i="1" s="1"/>
  <c r="G513" i="1"/>
  <c r="G512" i="1" s="1"/>
  <c r="G1028" i="1"/>
  <c r="G1026" i="1"/>
  <c r="G1025" i="1" s="1"/>
  <c r="G1014" i="1"/>
  <c r="G1013" i="1" s="1"/>
  <c r="G1011" i="1"/>
  <c r="G1010" i="1" s="1"/>
  <c r="G1008" i="1"/>
  <c r="G1007" i="1" s="1"/>
  <c r="G840" i="1"/>
  <c r="G639" i="1"/>
  <c r="G638" i="1" s="1"/>
  <c r="G617" i="1" s="1"/>
  <c r="D23" i="2" s="1"/>
  <c r="G615" i="1"/>
  <c r="G614" i="1" s="1"/>
  <c r="G613" i="1" s="1"/>
  <c r="G612" i="1" s="1"/>
  <c r="D21" i="2" s="1"/>
  <c r="G604" i="1"/>
  <c r="G603" i="1" s="1"/>
  <c r="G602" i="1" s="1"/>
  <c r="G540" i="1"/>
  <c r="G539" i="1" s="1"/>
  <c r="G462" i="1"/>
  <c r="G461" i="1" s="1"/>
  <c r="G400" i="1"/>
  <c r="G399" i="1" s="1"/>
  <c r="G284" i="1"/>
  <c r="G283" i="1" s="1"/>
  <c r="G365" i="1"/>
  <c r="G651" i="1"/>
  <c r="G650" i="1" s="1"/>
  <c r="G574" i="1"/>
  <c r="G573" i="1" s="1"/>
  <c r="G564" i="1"/>
  <c r="G563" i="1" s="1"/>
  <c r="G562" i="1" s="1"/>
  <c r="G561" i="1" s="1"/>
  <c r="G687" i="1"/>
  <c r="G686" i="1" s="1"/>
  <c r="G276" i="1"/>
  <c r="G275" i="1" s="1"/>
  <c r="G724" i="1"/>
  <c r="G721" i="1" s="1"/>
  <c r="G812" i="1"/>
  <c r="G811" i="1" s="1"/>
  <c r="G810" i="1" s="1"/>
  <c r="G779" i="1"/>
  <c r="G778" i="1" s="1"/>
  <c r="G732" i="1"/>
  <c r="G731" i="1" s="1"/>
  <c r="G730" i="1" s="1"/>
  <c r="G600" i="1"/>
  <c r="G599" i="1" s="1"/>
  <c r="G598" i="1" s="1"/>
  <c r="G30" i="1"/>
  <c r="G29" i="1" s="1"/>
  <c r="G28" i="1" s="1"/>
  <c r="G27" i="1" s="1"/>
  <c r="G52" i="1"/>
  <c r="G495" i="1"/>
  <c r="G268" i="1"/>
  <c r="G263" i="1" s="1"/>
  <c r="G693" i="1"/>
  <c r="G692" i="1" s="1"/>
  <c r="G483" i="1"/>
  <c r="G80" i="1"/>
  <c r="G356" i="1"/>
  <c r="G337" i="1"/>
  <c r="G228" i="1"/>
  <c r="G159" i="1"/>
  <c r="G158" i="1" s="1"/>
  <c r="G784" i="1"/>
  <c r="G783" i="1" s="1"/>
  <c r="G782" i="1" s="1"/>
  <c r="G797" i="1"/>
  <c r="G790" i="1" s="1"/>
  <c r="G808" i="1"/>
  <c r="G859" i="1"/>
  <c r="G858" i="1" s="1"/>
  <c r="D32" i="2" s="1"/>
  <c r="G222" i="1"/>
  <c r="G132" i="1"/>
  <c r="G76" i="1"/>
  <c r="G934" i="1"/>
  <c r="G927" i="1" s="1"/>
  <c r="G202" i="1"/>
  <c r="G201" i="1" s="1"/>
  <c r="G115" i="1"/>
  <c r="G114" i="1" s="1"/>
  <c r="G535" i="1"/>
  <c r="G138" i="1"/>
  <c r="G84" i="1"/>
  <c r="G828" i="1"/>
  <c r="G443" i="1"/>
  <c r="G442" i="1" s="1"/>
  <c r="G441" i="1" s="1"/>
  <c r="G437" i="1"/>
  <c r="G348" i="1"/>
  <c r="G329" i="1"/>
  <c r="G220" i="1"/>
  <c r="G130" i="1"/>
  <c r="G74" i="1"/>
  <c r="G832" i="1"/>
  <c r="G352" i="1"/>
  <c r="G333" i="1"/>
  <c r="G224" i="1"/>
  <c r="G134" i="1"/>
  <c r="G78" i="1"/>
  <c r="G830" i="1"/>
  <c r="G439" i="1"/>
  <c r="G350" i="1"/>
  <c r="G331" i="1"/>
  <c r="G834" i="1"/>
  <c r="G806" i="1"/>
  <c r="G847" i="1"/>
  <c r="G388" i="1"/>
  <c r="G387" i="1" s="1"/>
  <c r="G386" i="1" s="1"/>
  <c r="G532" i="1"/>
  <c r="G390" i="1"/>
  <c r="G117" i="1"/>
  <c r="G313" i="1"/>
  <c r="G660" i="1"/>
  <c r="G845" i="1"/>
  <c r="G273" i="1"/>
  <c r="G272" i="1" s="1"/>
  <c r="G280" i="1"/>
  <c r="G174" i="1"/>
  <c r="G666" i="1"/>
  <c r="G430" i="1"/>
  <c r="G429" i="1" s="1"/>
  <c r="G664" i="1"/>
  <c r="G662" i="1"/>
  <c r="G557" i="1"/>
  <c r="G556" i="1" s="1"/>
  <c r="G555" i="1" s="1"/>
  <c r="G554" i="1" s="1"/>
  <c r="G553" i="1" s="1"/>
  <c r="D723" i="6"/>
  <c r="D722" i="6" s="1"/>
  <c r="D732" i="6"/>
  <c r="D731" i="6" s="1"/>
  <c r="D737" i="6"/>
  <c r="D746" i="6"/>
  <c r="D748" i="6"/>
  <c r="D766" i="6"/>
  <c r="D759" i="6"/>
  <c r="D779" i="6"/>
  <c r="G341" i="1"/>
  <c r="G497" i="1"/>
  <c r="I284" i="1"/>
  <c r="I283" i="1" s="1"/>
  <c r="I365" i="1"/>
  <c r="I651" i="1"/>
  <c r="I650" i="1" s="1"/>
  <c r="I649" i="1" s="1"/>
  <c r="I574" i="1"/>
  <c r="I573" i="1" s="1"/>
  <c r="I564" i="1"/>
  <c r="I563" i="1" s="1"/>
  <c r="I562" i="1" s="1"/>
  <c r="I561" i="1" s="1"/>
  <c r="I687" i="1"/>
  <c r="I686" i="1" s="1"/>
  <c r="I276" i="1"/>
  <c r="I275" i="1" s="1"/>
  <c r="I724" i="1"/>
  <c r="I721" i="1" s="1"/>
  <c r="I812" i="1"/>
  <c r="I811" i="1" s="1"/>
  <c r="I810" i="1" s="1"/>
  <c r="I779" i="1"/>
  <c r="I778" i="1" s="1"/>
  <c r="I732" i="1"/>
  <c r="I731" i="1" s="1"/>
  <c r="I730" i="1" s="1"/>
  <c r="I600" i="1"/>
  <c r="I599" i="1" s="1"/>
  <c r="I598" i="1" s="1"/>
  <c r="I806" i="1"/>
  <c r="I847" i="1"/>
  <c r="I388" i="1"/>
  <c r="I387" i="1" s="1"/>
  <c r="I386" i="1" s="1"/>
  <c r="I532" i="1"/>
  <c r="I390" i="1"/>
  <c r="I117" i="1"/>
  <c r="H284" i="1"/>
  <c r="H283" i="1" s="1"/>
  <c r="H365" i="1"/>
  <c r="H651" i="1"/>
  <c r="H650" i="1" s="1"/>
  <c r="H649" i="1" s="1"/>
  <c r="H574" i="1"/>
  <c r="H573" i="1" s="1"/>
  <c r="H564" i="1"/>
  <c r="H563" i="1" s="1"/>
  <c r="H562" i="1" s="1"/>
  <c r="H561" i="1" s="1"/>
  <c r="H687" i="1"/>
  <c r="H686" i="1" s="1"/>
  <c r="H276" i="1"/>
  <c r="H275" i="1" s="1"/>
  <c r="H724" i="1"/>
  <c r="H721" i="1" s="1"/>
  <c r="H812" i="1"/>
  <c r="H811" i="1" s="1"/>
  <c r="H810" i="1" s="1"/>
  <c r="H779" i="1"/>
  <c r="H778" i="1" s="1"/>
  <c r="H732" i="1"/>
  <c r="H731" i="1" s="1"/>
  <c r="H730" i="1" s="1"/>
  <c r="H600" i="1"/>
  <c r="H599" i="1" s="1"/>
  <c r="H598" i="1" s="1"/>
  <c r="H806" i="1"/>
  <c r="H847" i="1"/>
  <c r="H388" i="1"/>
  <c r="H387" i="1" s="1"/>
  <c r="H386" i="1" s="1"/>
  <c r="H532" i="1"/>
  <c r="H390" i="1"/>
  <c r="H117" i="1"/>
  <c r="H430" i="1"/>
  <c r="H429" i="1" s="1"/>
  <c r="I313" i="1"/>
  <c r="I934" i="1"/>
  <c r="I927" i="1" s="1"/>
  <c r="I202" i="1"/>
  <c r="I201" i="1" s="1"/>
  <c r="I115" i="1"/>
  <c r="I114" i="1" s="1"/>
  <c r="H313" i="1"/>
  <c r="I430" i="1"/>
  <c r="I429" i="1" s="1"/>
  <c r="I664" i="1"/>
  <c r="I662" i="1"/>
  <c r="H934" i="1"/>
  <c r="H927" i="1" s="1"/>
  <c r="H202" i="1"/>
  <c r="H201" i="1" s="1"/>
  <c r="H115" i="1"/>
  <c r="H114" i="1" s="1"/>
  <c r="H280" i="1"/>
  <c r="H174" i="1"/>
  <c r="H666" i="1"/>
  <c r="H664" i="1"/>
  <c r="H662" i="1"/>
  <c r="H660" i="1"/>
  <c r="H845" i="1"/>
  <c r="I557" i="1"/>
  <c r="I556" i="1" s="1"/>
  <c r="I555" i="1" s="1"/>
  <c r="I554" i="1" s="1"/>
  <c r="I553" i="1" s="1"/>
  <c r="H557" i="1"/>
  <c r="H556" i="1" s="1"/>
  <c r="H555" i="1" s="1"/>
  <c r="H554" i="1" s="1"/>
  <c r="H553" i="1" s="1"/>
  <c r="I660" i="1"/>
  <c r="I845" i="1"/>
  <c r="I159" i="1"/>
  <c r="I784" i="1"/>
  <c r="I783" i="1" s="1"/>
  <c r="I782" i="1" s="1"/>
  <c r="I797" i="1"/>
  <c r="I790" i="1" s="1"/>
  <c r="I161" i="1"/>
  <c r="I536" i="1"/>
  <c r="I535" i="1" s="1"/>
  <c r="I40" i="1"/>
  <c r="I39" i="1" s="1"/>
  <c r="I38" i="1" s="1"/>
  <c r="I37" i="1" s="1"/>
  <c r="F26" i="2" s="1"/>
  <c r="I61" i="1"/>
  <c r="I60" i="1" s="1"/>
  <c r="I817" i="1"/>
  <c r="I814" i="1" s="1"/>
  <c r="I48" i="1"/>
  <c r="I516" i="1"/>
  <c r="I515" i="1" s="1"/>
  <c r="I509" i="1"/>
  <c r="I508" i="1" s="1"/>
  <c r="I504" i="1" s="1"/>
  <c r="I592" i="1"/>
  <c r="I591" i="1" s="1"/>
  <c r="I587" i="1"/>
  <c r="I586" i="1" s="1"/>
  <c r="I700" i="1"/>
  <c r="I697" i="1" s="1"/>
  <c r="I513" i="1"/>
  <c r="I512" i="1" s="1"/>
  <c r="I1028" i="1"/>
  <c r="I1026" i="1"/>
  <c r="I1025" i="1" s="1"/>
  <c r="I1014" i="1"/>
  <c r="I1013" i="1" s="1"/>
  <c r="I1011" i="1"/>
  <c r="I1010" i="1" s="1"/>
  <c r="I1008" i="1"/>
  <c r="I1007" i="1" s="1"/>
  <c r="I840" i="1"/>
  <c r="I639" i="1"/>
  <c r="I638" i="1" s="1"/>
  <c r="I617" i="1" s="1"/>
  <c r="F23" i="2" s="1"/>
  <c r="I615" i="1"/>
  <c r="I614" i="1" s="1"/>
  <c r="I613" i="1" s="1"/>
  <c r="I612" i="1" s="1"/>
  <c r="F21" i="2" s="1"/>
  <c r="I604" i="1"/>
  <c r="I603" i="1" s="1"/>
  <c r="I602" i="1" s="1"/>
  <c r="I539" i="1"/>
  <c r="I462" i="1"/>
  <c r="I461" i="1" s="1"/>
  <c r="I400" i="1"/>
  <c r="I399" i="1" s="1"/>
  <c r="I52" i="1"/>
  <c r="I495" i="1"/>
  <c r="I268" i="1"/>
  <c r="I263" i="1" s="1"/>
  <c r="I693" i="1"/>
  <c r="I692" i="1" s="1"/>
  <c r="I483" i="1"/>
  <c r="I140" i="1"/>
  <c r="I80" i="1"/>
  <c r="I356" i="1"/>
  <c r="I337" i="1"/>
  <c r="I228" i="1"/>
  <c r="I138" i="1"/>
  <c r="I84" i="1"/>
  <c r="I828" i="1"/>
  <c r="I443" i="1"/>
  <c r="I442" i="1" s="1"/>
  <c r="I441" i="1" s="1"/>
  <c r="I437" i="1"/>
  <c r="I348" i="1"/>
  <c r="I329" i="1"/>
  <c r="I220" i="1"/>
  <c r="I130" i="1"/>
  <c r="I74" i="1"/>
  <c r="I832" i="1"/>
  <c r="I352" i="1"/>
  <c r="I333" i="1"/>
  <c r="I224" i="1"/>
  <c r="I134" i="1"/>
  <c r="I78" i="1"/>
  <c r="I830" i="1"/>
  <c r="I439" i="1"/>
  <c r="I350" i="1"/>
  <c r="I331" i="1"/>
  <c r="I834" i="1"/>
  <c r="I280" i="1"/>
  <c r="I174" i="1"/>
  <c r="H161" i="1"/>
  <c r="H536" i="1"/>
  <c r="H535" i="1" s="1"/>
  <c r="H40" i="1"/>
  <c r="H39" i="1" s="1"/>
  <c r="H38" i="1" s="1"/>
  <c r="H37" i="1" s="1"/>
  <c r="E26" i="2" s="1"/>
  <c r="I666" i="1"/>
  <c r="H61" i="1"/>
  <c r="H60" i="1" s="1"/>
  <c r="H59" i="1" s="1"/>
  <c r="H817" i="1"/>
  <c r="H814" i="1" s="1"/>
  <c r="H48" i="1"/>
  <c r="H516" i="1"/>
  <c r="H515" i="1" s="1"/>
  <c r="H509" i="1"/>
  <c r="H508" i="1" s="1"/>
  <c r="H504" i="1" s="1"/>
  <c r="H592" i="1"/>
  <c r="H591" i="1" s="1"/>
  <c r="H587" i="1"/>
  <c r="H586" i="1" s="1"/>
  <c r="H700" i="1"/>
  <c r="H697" i="1" s="1"/>
  <c r="H513" i="1"/>
  <c r="H512" i="1" s="1"/>
  <c r="H1028" i="1"/>
  <c r="H1026" i="1"/>
  <c r="H1025" i="1" s="1"/>
  <c r="H1014" i="1"/>
  <c r="H1013" i="1" s="1"/>
  <c r="H1011" i="1"/>
  <c r="H1010" i="1" s="1"/>
  <c r="H1008" i="1"/>
  <c r="H1007" i="1" s="1"/>
  <c r="H840" i="1"/>
  <c r="H639" i="1"/>
  <c r="H638" i="1" s="1"/>
  <c r="H617" i="1" s="1"/>
  <c r="E23" i="2" s="1"/>
  <c r="H615" i="1"/>
  <c r="H614" i="1" s="1"/>
  <c r="H613" i="1" s="1"/>
  <c r="H612" i="1" s="1"/>
  <c r="E21" i="2" s="1"/>
  <c r="H604" i="1"/>
  <c r="H603" i="1" s="1"/>
  <c r="H602" i="1" s="1"/>
  <c r="H539" i="1"/>
  <c r="H462" i="1"/>
  <c r="H461" i="1" s="1"/>
  <c r="H400" i="1"/>
  <c r="H399" i="1" s="1"/>
  <c r="H52" i="1"/>
  <c r="H495" i="1"/>
  <c r="H268" i="1"/>
  <c r="H263" i="1" s="1"/>
  <c r="H693" i="1"/>
  <c r="H692" i="1" s="1"/>
  <c r="H483" i="1"/>
  <c r="H140" i="1"/>
  <c r="H80" i="1"/>
  <c r="H356" i="1"/>
  <c r="H337" i="1"/>
  <c r="H228" i="1"/>
  <c r="H138" i="1"/>
  <c r="H84" i="1"/>
  <c r="H828" i="1"/>
  <c r="H443" i="1"/>
  <c r="H442" i="1" s="1"/>
  <c r="H441" i="1" s="1"/>
  <c r="H437" i="1"/>
  <c r="H348" i="1"/>
  <c r="H329" i="1"/>
  <c r="H220" i="1"/>
  <c r="H130" i="1"/>
  <c r="H74" i="1"/>
  <c r="H832" i="1"/>
  <c r="H352" i="1"/>
  <c r="H333" i="1"/>
  <c r="H224" i="1"/>
  <c r="H134" i="1"/>
  <c r="H78" i="1"/>
  <c r="H830" i="1"/>
  <c r="H439" i="1"/>
  <c r="H350" i="1"/>
  <c r="H331" i="1"/>
  <c r="H834" i="1"/>
  <c r="H159" i="1"/>
  <c r="H784" i="1"/>
  <c r="H783" i="1" s="1"/>
  <c r="H782" i="1" s="1"/>
  <c r="H797" i="1"/>
  <c r="H790" i="1" s="1"/>
  <c r="H808" i="1"/>
  <c r="H859" i="1"/>
  <c r="H858" i="1" s="1"/>
  <c r="E32" i="2" s="1"/>
  <c r="H222" i="1"/>
  <c r="H132" i="1"/>
  <c r="H76" i="1"/>
  <c r="I273" i="1"/>
  <c r="I272" i="1" s="1"/>
  <c r="I341" i="1"/>
  <c r="I808" i="1"/>
  <c r="I859" i="1"/>
  <c r="I858" i="1" s="1"/>
  <c r="F32" i="2" s="1"/>
  <c r="I222" i="1"/>
  <c r="I132" i="1"/>
  <c r="I76" i="1"/>
  <c r="H273" i="1"/>
  <c r="H272" i="1" s="1"/>
  <c r="H341" i="1"/>
  <c r="H497" i="1"/>
  <c r="I497" i="1"/>
  <c r="I47" i="1" l="1"/>
  <c r="I42" i="1" s="1"/>
  <c r="G47" i="1"/>
  <c r="G42" i="1" s="1"/>
  <c r="H47" i="1"/>
  <c r="H774" i="1"/>
  <c r="H773" i="1" s="1"/>
  <c r="I774" i="1"/>
  <c r="I773" i="1" s="1"/>
  <c r="G774" i="1"/>
  <c r="G773" i="1" s="1"/>
  <c r="H262" i="1"/>
  <c r="H255" i="1" s="1"/>
  <c r="H250" i="1" s="1"/>
  <c r="E46" i="2" s="1"/>
  <c r="I262" i="1"/>
  <c r="I255" i="1" s="1"/>
  <c r="I250" i="1" s="1"/>
  <c r="F46" i="2" s="1"/>
  <c r="G262" i="1"/>
  <c r="G844" i="1"/>
  <c r="D51" i="2"/>
  <c r="E51" i="2"/>
  <c r="F51" i="2"/>
  <c r="H552" i="1"/>
  <c r="I552" i="1"/>
  <c r="G552" i="1"/>
  <c r="G22" i="1"/>
  <c r="H844" i="1"/>
  <c r="H839" i="1" s="1"/>
  <c r="H838" i="1" s="1"/>
  <c r="H42" i="1"/>
  <c r="I844" i="1"/>
  <c r="I839" i="1" s="1"/>
  <c r="I838" i="1" s="1"/>
  <c r="H73" i="1"/>
  <c r="H72" i="1" s="1"/>
  <c r="I73" i="1"/>
  <c r="I72" i="1" s="1"/>
  <c r="G73" i="1"/>
  <c r="G72" i="1" s="1"/>
  <c r="H328" i="1"/>
  <c r="H327" i="1" s="1"/>
  <c r="I328" i="1"/>
  <c r="I327" i="1" s="1"/>
  <c r="G328" i="1"/>
  <c r="G327" i="1" s="1"/>
  <c r="H347" i="1"/>
  <c r="H346" i="1" s="1"/>
  <c r="I347" i="1"/>
  <c r="I346" i="1" s="1"/>
  <c r="G347" i="1"/>
  <c r="G346" i="1" s="1"/>
  <c r="G649" i="1"/>
  <c r="G648" i="1" s="1"/>
  <c r="D25" i="2" s="1"/>
  <c r="H648" i="1"/>
  <c r="E25" i="2" s="1"/>
  <c r="I648" i="1"/>
  <c r="F25" i="2" s="1"/>
  <c r="D730" i="6"/>
  <c r="G839" i="1"/>
  <c r="G838" i="1" s="1"/>
  <c r="H478" i="1"/>
  <c r="H477" i="1" s="1"/>
  <c r="I478" i="1"/>
  <c r="I477" i="1" s="1"/>
  <c r="G478" i="1"/>
  <c r="G477" i="1" s="1"/>
  <c r="D528" i="6"/>
  <c r="D527" i="6" s="1"/>
  <c r="D526" i="6" s="1"/>
  <c r="D515" i="6" s="1"/>
  <c r="E528" i="6"/>
  <c r="E527" i="6" s="1"/>
  <c r="F528" i="6"/>
  <c r="F527" i="6" s="1"/>
  <c r="H219" i="1"/>
  <c r="I219" i="1"/>
  <c r="I218" i="1" s="1"/>
  <c r="I217" i="1" s="1"/>
  <c r="I216" i="1" s="1"/>
  <c r="I215" i="1" s="1"/>
  <c r="G219" i="1"/>
  <c r="H129" i="1"/>
  <c r="H128" i="1" s="1"/>
  <c r="I129" i="1"/>
  <c r="I128" i="1" s="1"/>
  <c r="G129" i="1"/>
  <c r="G128" i="1" s="1"/>
  <c r="H436" i="1"/>
  <c r="H435" i="1" s="1"/>
  <c r="H428" i="1" s="1"/>
  <c r="I436" i="1"/>
  <c r="I435" i="1" s="1"/>
  <c r="I428" i="1" s="1"/>
  <c r="G436" i="1"/>
  <c r="G435" i="1" s="1"/>
  <c r="G428" i="1" s="1"/>
  <c r="I21" i="7"/>
  <c r="H21" i="7"/>
  <c r="G21" i="7"/>
  <c r="I312" i="1"/>
  <c r="I805" i="1"/>
  <c r="I654" i="1"/>
  <c r="F35" i="7" s="1"/>
  <c r="G585" i="1"/>
  <c r="G584" i="1" s="1"/>
  <c r="G583" i="1" s="1"/>
  <c r="D53" i="2" s="1"/>
  <c r="H585" i="1"/>
  <c r="H584" i="1" s="1"/>
  <c r="H583" i="1" s="1"/>
  <c r="H576" i="1" s="1"/>
  <c r="I585" i="1"/>
  <c r="I584" i="1" s="1"/>
  <c r="I583" i="1" s="1"/>
  <c r="F53" i="2" s="1"/>
  <c r="G805" i="1"/>
  <c r="I926" i="1"/>
  <c r="I925" i="1" s="1"/>
  <c r="I918" i="1" s="1"/>
  <c r="I884" i="1" s="1"/>
  <c r="H460" i="1"/>
  <c r="H455" i="1" s="1"/>
  <c r="E58" i="2" s="1"/>
  <c r="I27" i="1"/>
  <c r="I398" i="1"/>
  <c r="I393" i="1" s="1"/>
  <c r="F49" i="2" s="1"/>
  <c r="G385" i="1"/>
  <c r="D61" i="7" s="1"/>
  <c r="G398" i="1"/>
  <c r="H27" i="1"/>
  <c r="H398" i="1"/>
  <c r="H393" i="1" s="1"/>
  <c r="E49" i="2" s="1"/>
  <c r="H58" i="1"/>
  <c r="H57" i="1" s="1"/>
  <c r="E62" i="2" s="1"/>
  <c r="E61" i="2" s="1"/>
  <c r="I385" i="1"/>
  <c r="F61" i="7" s="1"/>
  <c r="I460" i="1"/>
  <c r="I455" i="1" s="1"/>
  <c r="F58" i="2" s="1"/>
  <c r="H385" i="1"/>
  <c r="E61" i="7" s="1"/>
  <c r="G460" i="1"/>
  <c r="G455" i="1" s="1"/>
  <c r="D58" i="2" s="1"/>
  <c r="I59" i="1"/>
  <c r="G59" i="1"/>
  <c r="H926" i="1"/>
  <c r="H925" i="1" s="1"/>
  <c r="H918" i="1" s="1"/>
  <c r="H884" i="1" s="1"/>
  <c r="I659" i="1"/>
  <c r="I658" i="1" s="1"/>
  <c r="F43" i="7" s="1"/>
  <c r="G531" i="1"/>
  <c r="H805" i="1"/>
  <c r="I720" i="1"/>
  <c r="G720" i="1"/>
  <c r="D35" i="7"/>
  <c r="I158" i="1"/>
  <c r="H511" i="1"/>
  <c r="I494" i="1"/>
  <c r="I487" i="1" s="1"/>
  <c r="H654" i="1"/>
  <c r="E35" i="7" s="1"/>
  <c r="I827" i="1"/>
  <c r="I826" i="1" s="1"/>
  <c r="I825" i="1" s="1"/>
  <c r="F47" i="7" s="1"/>
  <c r="I511" i="1"/>
  <c r="D739" i="6"/>
  <c r="D734" i="6" s="1"/>
  <c r="I531" i="1"/>
  <c r="G827" i="1"/>
  <c r="G826" i="1" s="1"/>
  <c r="G825" i="1" s="1"/>
  <c r="D47" i="7" s="1"/>
  <c r="H827" i="1"/>
  <c r="H826" i="1" s="1"/>
  <c r="H825" i="1" s="1"/>
  <c r="E47" i="7" s="1"/>
  <c r="H659" i="1"/>
  <c r="H658" i="1" s="1"/>
  <c r="E43" i="7" s="1"/>
  <c r="G1006" i="1"/>
  <c r="G1024" i="1"/>
  <c r="H312" i="1"/>
  <c r="H720" i="1"/>
  <c r="H158" i="1"/>
  <c r="H531" i="1"/>
  <c r="G494" i="1"/>
  <c r="G487" i="1" s="1"/>
  <c r="D761" i="6"/>
  <c r="D753" i="6" s="1"/>
  <c r="G659" i="1"/>
  <c r="G658" i="1" s="1"/>
  <c r="G511" i="1"/>
  <c r="H1006" i="1"/>
  <c r="I597" i="1"/>
  <c r="I1024" i="1"/>
  <c r="I1023" i="1" s="1"/>
  <c r="H494" i="1"/>
  <c r="H487" i="1" s="1"/>
  <c r="H1024" i="1"/>
  <c r="H1023" i="1" s="1"/>
  <c r="I1006" i="1"/>
  <c r="H597" i="1"/>
  <c r="D769" i="6"/>
  <c r="D768" i="6" s="1"/>
  <c r="G312" i="1"/>
  <c r="G597" i="1"/>
  <c r="G326" i="1" l="1"/>
  <c r="H326" i="1"/>
  <c r="I326" i="1"/>
  <c r="G218" i="1"/>
  <c r="H218" i="1"/>
  <c r="H217" i="1" s="1"/>
  <c r="H216" i="1" s="1"/>
  <c r="F526" i="6"/>
  <c r="F515" i="6" s="1"/>
  <c r="E526" i="6"/>
  <c r="E515" i="6" s="1"/>
  <c r="I772" i="1"/>
  <c r="I771" i="1" s="1"/>
  <c r="F38" i="7"/>
  <c r="G772" i="1"/>
  <c r="G771" i="1" s="1"/>
  <c r="D38" i="7"/>
  <c r="H772" i="1"/>
  <c r="H771" i="1" s="1"/>
  <c r="E38" i="7"/>
  <c r="G127" i="1"/>
  <c r="G126" i="1" s="1"/>
  <c r="G125" i="1" s="1"/>
  <c r="I325" i="1"/>
  <c r="H127" i="1"/>
  <c r="I127" i="1"/>
  <c r="G255" i="1"/>
  <c r="I126" i="1"/>
  <c r="H126" i="1"/>
  <c r="I71" i="1"/>
  <c r="G71" i="1"/>
  <c r="H71" i="1"/>
  <c r="G21" i="1"/>
  <c r="G653" i="1"/>
  <c r="D43" i="7"/>
  <c r="G42" i="7" s="1"/>
  <c r="H596" i="1"/>
  <c r="E31" i="2" s="1"/>
  <c r="E20" i="7"/>
  <c r="H19" i="7" s="1"/>
  <c r="G393" i="1"/>
  <c r="D49" i="2" s="1"/>
  <c r="E63" i="7"/>
  <c r="H62" i="7" s="1"/>
  <c r="E53" i="2"/>
  <c r="G596" i="1"/>
  <c r="D31" i="2" s="1"/>
  <c r="D20" i="7"/>
  <c r="G19" i="7" s="1"/>
  <c r="I596" i="1"/>
  <c r="F31" i="2" s="1"/>
  <c r="F20" i="7"/>
  <c r="I19" i="7" s="1"/>
  <c r="H22" i="1"/>
  <c r="E24" i="2" s="1"/>
  <c r="E45" i="7"/>
  <c r="H44" i="7" s="1"/>
  <c r="I22" i="1"/>
  <c r="F24" i="2" s="1"/>
  <c r="D54" i="7"/>
  <c r="D68" i="7" s="1"/>
  <c r="D63" i="7"/>
  <c r="G62" i="7" s="1"/>
  <c r="F63" i="7"/>
  <c r="I62" i="7" s="1"/>
  <c r="I1005" i="1"/>
  <c r="F22" i="2" s="1"/>
  <c r="G1005" i="1"/>
  <c r="D22" i="2" s="1"/>
  <c r="H1005" i="1"/>
  <c r="E22" i="2" s="1"/>
  <c r="G1023" i="1"/>
  <c r="G1022" i="1" s="1"/>
  <c r="G1021" i="1" s="1"/>
  <c r="H653" i="1"/>
  <c r="H611" i="1" s="1"/>
  <c r="I653" i="1"/>
  <c r="I611" i="1" s="1"/>
  <c r="H325" i="1"/>
  <c r="I1022" i="1"/>
  <c r="I1021" i="1" s="1"/>
  <c r="H1022" i="1"/>
  <c r="H1021" i="1" s="1"/>
  <c r="I576" i="1"/>
  <c r="G576" i="1"/>
  <c r="H34" i="7"/>
  <c r="G34" i="7"/>
  <c r="I34" i="7"/>
  <c r="G789" i="1"/>
  <c r="F44" i="2"/>
  <c r="I719" i="1"/>
  <c r="F55" i="7" s="1"/>
  <c r="H56" i="1"/>
  <c r="H824" i="1"/>
  <c r="E60" i="2" s="1"/>
  <c r="E59" i="2" s="1"/>
  <c r="H46" i="7"/>
  <c r="G824" i="1"/>
  <c r="D60" i="2" s="1"/>
  <c r="G46" i="7"/>
  <c r="I824" i="1"/>
  <c r="F60" i="2" s="1"/>
  <c r="F59" i="2" s="1"/>
  <c r="I46" i="7"/>
  <c r="G926" i="1"/>
  <c r="G925" i="1" s="1"/>
  <c r="G918" i="1" s="1"/>
  <c r="G884" i="1" s="1"/>
  <c r="I789" i="1"/>
  <c r="I788" i="1" s="1"/>
  <c r="I787" i="1" s="1"/>
  <c r="I837" i="1"/>
  <c r="I836" i="1" s="1"/>
  <c r="H837" i="1"/>
  <c r="H836" i="1" s="1"/>
  <c r="H42" i="7"/>
  <c r="I42" i="7"/>
  <c r="G427" i="1"/>
  <c r="I427" i="1"/>
  <c r="F65" i="7" s="1"/>
  <c r="H427" i="1"/>
  <c r="E65" i="7" s="1"/>
  <c r="G560" i="1"/>
  <c r="D37" i="2" s="1"/>
  <c r="I560" i="1"/>
  <c r="F37" i="2" s="1"/>
  <c r="H560" i="1"/>
  <c r="E37" i="2" s="1"/>
  <c r="I530" i="1"/>
  <c r="F51" i="7" s="1"/>
  <c r="H530" i="1"/>
  <c r="E51" i="7" s="1"/>
  <c r="H719" i="1"/>
  <c r="E55" i="7" s="1"/>
  <c r="G719" i="1"/>
  <c r="G530" i="1"/>
  <c r="D51" i="7" s="1"/>
  <c r="I58" i="1"/>
  <c r="I57" i="1" s="1"/>
  <c r="F62" i="2" s="1"/>
  <c r="F61" i="2" s="1"/>
  <c r="G58" i="1"/>
  <c r="D45" i="7" s="1"/>
  <c r="H789" i="1"/>
  <c r="G1004" i="1"/>
  <c r="G1003" i="1" s="1"/>
  <c r="I1004" i="1"/>
  <c r="I1003" i="1" s="1"/>
  <c r="I863" i="1"/>
  <c r="H863" i="1"/>
  <c r="D55" i="7" l="1"/>
  <c r="G54" i="7" s="1"/>
  <c r="G718" i="1"/>
  <c r="G217" i="1"/>
  <c r="G216" i="1" s="1"/>
  <c r="G215" i="1" s="1"/>
  <c r="D44" i="2" s="1"/>
  <c r="H215" i="1"/>
  <c r="E44" i="2" s="1"/>
  <c r="I21" i="1"/>
  <c r="E54" i="7"/>
  <c r="E68" i="7" s="1"/>
  <c r="E21" i="6"/>
  <c r="F54" i="7"/>
  <c r="F68" i="7" s="1"/>
  <c r="F21" i="6"/>
  <c r="G250" i="1"/>
  <c r="D46" i="2" s="1"/>
  <c r="F49" i="7"/>
  <c r="I48" i="7" s="1"/>
  <c r="H1004" i="1"/>
  <c r="H1003" i="1" s="1"/>
  <c r="E49" i="7"/>
  <c r="H48" i="7" s="1"/>
  <c r="H21" i="1"/>
  <c r="H20" i="1" s="1"/>
  <c r="F60" i="7"/>
  <c r="I59" i="7" s="1"/>
  <c r="D24" i="2"/>
  <c r="G426" i="1"/>
  <c r="D57" i="2" s="1"/>
  <c r="D65" i="7"/>
  <c r="H320" i="1"/>
  <c r="E48" i="2" s="1"/>
  <c r="E47" i="2" s="1"/>
  <c r="E37" i="7"/>
  <c r="H36" i="7" s="1"/>
  <c r="F45" i="7"/>
  <c r="I44" i="7" s="1"/>
  <c r="I320" i="1"/>
  <c r="F48" i="2" s="1"/>
  <c r="F47" i="2" s="1"/>
  <c r="F37" i="7"/>
  <c r="I36" i="7" s="1"/>
  <c r="D43" i="2"/>
  <c r="I50" i="7"/>
  <c r="I523" i="1"/>
  <c r="F27" i="2" s="1"/>
  <c r="F20" i="2" s="1"/>
  <c r="G50" i="7"/>
  <c r="G523" i="1"/>
  <c r="D27" i="2" s="1"/>
  <c r="H523" i="1"/>
  <c r="E27" i="2" s="1"/>
  <c r="E20" i="2" s="1"/>
  <c r="I125" i="1"/>
  <c r="F43" i="2" s="1"/>
  <c r="H125" i="1"/>
  <c r="E43" i="2" s="1"/>
  <c r="I70" i="1"/>
  <c r="H70" i="1"/>
  <c r="G70" i="1"/>
  <c r="G65" i="1" s="1"/>
  <c r="I718" i="1"/>
  <c r="I705" i="1" s="1"/>
  <c r="I54" i="7"/>
  <c r="H862" i="1"/>
  <c r="I823" i="1"/>
  <c r="G823" i="1"/>
  <c r="D59" i="2"/>
  <c r="H823" i="1"/>
  <c r="G862" i="1"/>
  <c r="I862" i="1"/>
  <c r="I56" i="1"/>
  <c r="G64" i="7"/>
  <c r="I426" i="1"/>
  <c r="F57" i="2" s="1"/>
  <c r="F55" i="2" s="1"/>
  <c r="H426" i="1"/>
  <c r="E57" i="2" s="1"/>
  <c r="E55" i="2" s="1"/>
  <c r="G611" i="1"/>
  <c r="G788" i="1"/>
  <c r="G787" i="1" s="1"/>
  <c r="G44" i="7"/>
  <c r="G559" i="1"/>
  <c r="I595" i="1"/>
  <c r="I594" i="1" s="1"/>
  <c r="H595" i="1"/>
  <c r="H594" i="1" s="1"/>
  <c r="H50" i="7"/>
  <c r="H64" i="7"/>
  <c r="I64" i="7"/>
  <c r="G325" i="1"/>
  <c r="D37" i="7" s="1"/>
  <c r="G36" i="7" s="1"/>
  <c r="G837" i="1"/>
  <c r="G836" i="1" s="1"/>
  <c r="G57" i="1"/>
  <c r="D62" i="2" s="1"/>
  <c r="I559" i="1"/>
  <c r="H559" i="1"/>
  <c r="H718" i="1"/>
  <c r="H705" i="1" s="1"/>
  <c r="D35" i="2"/>
  <c r="G476" i="1"/>
  <c r="I476" i="1"/>
  <c r="H788" i="1"/>
  <c r="H787" i="1" s="1"/>
  <c r="H476" i="1"/>
  <c r="G595" i="1"/>
  <c r="G594" i="1" s="1"/>
  <c r="D42" i="2" l="1"/>
  <c r="G64" i="1"/>
  <c r="I20" i="1"/>
  <c r="H54" i="7"/>
  <c r="G408" i="1"/>
  <c r="G407" i="1" s="1"/>
  <c r="D49" i="7"/>
  <c r="G48" i="7" s="1"/>
  <c r="F52" i="2"/>
  <c r="F50" i="2" s="1"/>
  <c r="I781" i="1"/>
  <c r="D60" i="7"/>
  <c r="G59" i="7" s="1"/>
  <c r="I853" i="1"/>
  <c r="F34" i="2"/>
  <c r="H853" i="1"/>
  <c r="E34" i="2"/>
  <c r="E39" i="2"/>
  <c r="E36" i="2" s="1"/>
  <c r="E60" i="7"/>
  <c r="H59" i="7" s="1"/>
  <c r="E35" i="2"/>
  <c r="G853" i="1"/>
  <c r="D34" i="2"/>
  <c r="D30" i="2" s="1"/>
  <c r="F35" i="2"/>
  <c r="F39" i="2"/>
  <c r="F36" i="2" s="1"/>
  <c r="D33" i="7"/>
  <c r="G32" i="7" s="1"/>
  <c r="H471" i="1"/>
  <c r="E29" i="2" s="1"/>
  <c r="E28" i="2" s="1"/>
  <c r="E57" i="7"/>
  <c r="H56" i="7" s="1"/>
  <c r="G471" i="1"/>
  <c r="D29" i="2" s="1"/>
  <c r="D57" i="7"/>
  <c r="G56" i="7" s="1"/>
  <c r="H65" i="1"/>
  <c r="E33" i="7"/>
  <c r="H32" i="7" s="1"/>
  <c r="I471" i="1"/>
  <c r="F29" i="2" s="1"/>
  <c r="F28" i="2" s="1"/>
  <c r="F57" i="7"/>
  <c r="I56" i="7" s="1"/>
  <c r="I65" i="1"/>
  <c r="F33" i="7"/>
  <c r="I32" i="7" s="1"/>
  <c r="G320" i="1"/>
  <c r="G705" i="1"/>
  <c r="G63" i="1"/>
  <c r="I319" i="1"/>
  <c r="I318" i="1" s="1"/>
  <c r="G56" i="1"/>
  <c r="G20" i="1" s="1"/>
  <c r="D61" i="2"/>
  <c r="H408" i="1"/>
  <c r="H407" i="1" s="1"/>
  <c r="I408" i="1"/>
  <c r="I407" i="1" s="1"/>
  <c r="D20" i="2"/>
  <c r="D55" i="2"/>
  <c r="I522" i="1"/>
  <c r="I521" i="1" s="1"/>
  <c r="H522" i="1"/>
  <c r="H521" i="1" s="1"/>
  <c r="G522" i="1"/>
  <c r="G521" i="1" s="1"/>
  <c r="H319" i="1"/>
  <c r="H318" i="1" s="1"/>
  <c r="F42" i="2" l="1"/>
  <c r="F41" i="2" s="1"/>
  <c r="I64" i="1"/>
  <c r="E42" i="2"/>
  <c r="E41" i="2" s="1"/>
  <c r="H64" i="1"/>
  <c r="D39" i="2"/>
  <c r="D36" i="2" s="1"/>
  <c r="G852" i="1"/>
  <c r="E52" i="2"/>
  <c r="E50" i="2" s="1"/>
  <c r="H781" i="1"/>
  <c r="H610" i="1" s="1"/>
  <c r="D52" i="2"/>
  <c r="D50" i="2" s="1"/>
  <c r="G781" i="1"/>
  <c r="G610" i="1" s="1"/>
  <c r="H470" i="1"/>
  <c r="H469" i="1" s="1"/>
  <c r="E30" i="2"/>
  <c r="F30" i="2"/>
  <c r="F19" i="2" s="1"/>
  <c r="H852" i="1"/>
  <c r="I852" i="1"/>
  <c r="I470" i="1"/>
  <c r="I469" i="1" s="1"/>
  <c r="D48" i="2"/>
  <c r="D47" i="2" s="1"/>
  <c r="D725" i="6"/>
  <c r="D721" i="6" s="1"/>
  <c r="D21" i="6" s="1"/>
  <c r="I610" i="1"/>
  <c r="G319" i="1"/>
  <c r="G318" i="1" s="1"/>
  <c r="D28" i="2"/>
  <c r="G470" i="1"/>
  <c r="G469" i="1" s="1"/>
  <c r="D41" i="2"/>
  <c r="I63" i="1"/>
  <c r="H63" i="1"/>
  <c r="E19" i="2" l="1"/>
  <c r="H19" i="1"/>
  <c r="K19" i="1" s="1"/>
  <c r="G19" i="1"/>
  <c r="G21" i="6" s="1"/>
  <c r="I19" i="1"/>
  <c r="L19" i="1" s="1"/>
  <c r="D19" i="2"/>
  <c r="G18" i="2" l="1"/>
  <c r="G19" i="2" s="1"/>
  <c r="J19" i="1"/>
  <c r="H21" i="6"/>
  <c r="I21" i="6"/>
  <c r="G22" i="6" l="1"/>
  <c r="I22" i="6"/>
  <c r="I18" i="2"/>
  <c r="I19" i="2" s="1"/>
  <c r="H18" i="2"/>
  <c r="H19" i="2" s="1"/>
  <c r="H22" i="6"/>
</calcChain>
</file>

<file path=xl/sharedStrings.xml><?xml version="1.0" encoding="utf-8"?>
<sst xmlns="http://schemas.openxmlformats.org/spreadsheetml/2006/main" count="6494" uniqueCount="1030">
  <si>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</si>
  <si>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</si>
  <si>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</si>
  <si>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</si>
  <si>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</si>
  <si>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</si>
  <si>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</si>
  <si>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</si>
  <si>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</si>
  <si>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</si>
  <si>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</si>
  <si>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</si>
  <si>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</si>
  <si>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</si>
  <si>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</si>
  <si>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</si>
  <si>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</si>
  <si>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</si>
  <si>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</si>
  <si>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</si>
  <si>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</si>
  <si>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</si>
  <si>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</si>
  <si>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</si>
  <si>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</si>
  <si>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</si>
  <si>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</si>
  <si>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</si>
  <si>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</si>
  <si>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</si>
  <si>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</si>
  <si>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</si>
  <si>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</si>
  <si>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</si>
  <si>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</si>
  <si>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</si>
  <si>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</si>
  <si>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</si>
  <si>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</si>
  <si>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</si>
  <si>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</si>
  <si>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</si>
  <si>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</si>
  <si>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</si>
  <si>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</si>
  <si>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</si>
  <si>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</si>
  <si>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</si>
  <si>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</si>
  <si>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</si>
  <si>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</si>
  <si>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</si>
  <si>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</si>
  <si>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</si>
  <si>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</si>
  <si>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</si>
  <si>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</si>
  <si>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</si>
  <si>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</si>
  <si>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</si>
  <si>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</si>
  <si>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</si>
  <si>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</si>
  <si>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</si>
  <si>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</si>
  <si>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</si>
  <si>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</si>
  <si>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</si>
  <si>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</si>
  <si>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</si>
  <si>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</si>
  <si>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</si>
  <si>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</si>
  <si>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</si>
  <si>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</si>
  <si>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</si>
  <si>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</si>
  <si>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</si>
  <si>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</si>
  <si>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</si>
  <si>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</si>
  <si>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</si>
  <si>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</si>
  <si>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</si>
  <si>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</si>
  <si>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</si>
  <si>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</si>
  <si>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</si>
  <si>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</si>
  <si>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</si>
  <si>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</si>
  <si>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</si>
  <si>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</si>
  <si>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</si>
  <si>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</si>
  <si>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</si>
  <si>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</si>
  <si>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</si>
  <si>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</si>
  <si>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</si>
  <si>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</si>
  <si>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</si>
  <si>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</si>
  <si>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</si>
  <si>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</si>
  <si>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</si>
  <si>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</si>
  <si>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</si>
  <si>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</si>
  <si>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</si>
  <si>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</si>
  <si>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</si>
  <si>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</si>
  <si>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</si>
  <si>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</si>
  <si>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</si>
  <si>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</si>
  <si>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</si>
  <si>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</si>
  <si>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</si>
  <si>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</si>
  <si>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</si>
  <si>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</si>
  <si>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</si>
  <si>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</si>
  <si>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</si>
  <si>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</si>
  <si>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</si>
  <si>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</si>
  <si>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</si>
  <si>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</si>
  <si>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</si>
  <si>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</si>
  <si>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</si>
  <si>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</si>
  <si>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</si>
  <si>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</si>
  <si>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</si>
  <si>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</si>
  <si>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</si>
  <si>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</si>
  <si>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</si>
  <si>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</si>
  <si>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</si>
  <si>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</si>
  <si>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</si>
  <si>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</si>
  <si>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</si>
  <si>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</si>
  <si>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выплата пенсии за выслугу лет </t>
  </si>
  <si>
    <t xml:space="preserve"> - ежемесячные денежные выплаты Почетным гражданам </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</si>
  <si>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</si>
  <si>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</si>
  <si>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</si>
  <si>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</si>
  <si>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</si>
  <si>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</si>
  <si>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</si>
  <si>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</si>
  <si>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</si>
  <si>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</si>
  <si>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</si>
  <si>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</si>
  <si>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</si>
  <si>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</si>
  <si>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</si>
  <si>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</si>
  <si>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</si>
  <si>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</si>
  <si>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</si>
  <si>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</si>
  <si>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</si>
  <si>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</si>
  <si>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</si>
  <si>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</si>
  <si>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</si>
  <si>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</si>
  <si>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</si>
  <si>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</si>
  <si>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</si>
  <si>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</si>
  <si>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</si>
  <si>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</si>
  <si>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</si>
  <si>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</si>
  <si>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</si>
  <si>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</si>
  <si>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</si>
  <si>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</si>
  <si>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</si>
  <si>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</si>
  <si>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</si>
  <si>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</si>
  <si>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</si>
  <si>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</si>
  <si>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</si>
  <si>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</si>
  <si>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</si>
  <si>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</si>
  <si>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</si>
  <si>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</si>
  <si>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</si>
  <si>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</si>
  <si>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</si>
  <si>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</si>
  <si>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</si>
  <si>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</si>
  <si>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</si>
  <si>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</si>
  <si>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</si>
  <si>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</si>
  <si>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</si>
  <si>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</si>
  <si>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</si>
  <si>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</si>
  <si>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</si>
  <si>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</si>
  <si>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</si>
  <si>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</si>
  <si>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</si>
  <si>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</si>
  <si>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</si>
  <si>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</si>
  <si>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</si>
  <si>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</si>
  <si>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</si>
  <si>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</si>
  <si>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</si>
  <si>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</si>
  <si>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</si>
  <si>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</si>
  <si>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</si>
  <si>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</si>
  <si>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</si>
  <si>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</si>
  <si>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</si>
  <si>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</si>
  <si>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</si>
  <si>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</si>
  <si>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</si>
  <si>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</si>
  <si>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</si>
  <si>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</si>
  <si>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</si>
  <si>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</si>
  <si>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</si>
  <si>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</si>
  <si>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</si>
  <si>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</si>
  <si>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</si>
  <si>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</si>
  <si>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</si>
  <si>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</si>
  <si>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</si>
  <si>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</si>
  <si>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</si>
  <si>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</si>
  <si>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</si>
  <si>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</si>
  <si>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</si>
  <si>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</si>
  <si>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15 3 01 00020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</si>
  <si>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</si>
  <si>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</si>
  <si>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</si>
  <si>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</si>
  <si>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</si>
  <si>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</si>
  <si>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</si>
  <si>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</si>
  <si>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</si>
  <si>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</si>
  <si>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</si>
  <si>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</si>
  <si>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</si>
  <si>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</si>
  <si>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</si>
  <si>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</si>
  <si>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</si>
  <si>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</si>
  <si>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</si>
  <si>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</si>
  <si>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</si>
  <si>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</si>
  <si>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</si>
  <si>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</si>
  <si>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</si>
  <si>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</si>
  <si>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</si>
  <si>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</si>
  <si>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</si>
  <si>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</si>
  <si>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</si>
  <si>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</si>
  <si>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</si>
  <si>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</si>
  <si>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</si>
  <si>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</si>
  <si>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</si>
  <si>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</si>
  <si>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</si>
  <si>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</si>
  <si>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</si>
  <si>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</si>
  <si>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</si>
  <si>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</si>
  <si>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</si>
  <si>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</si>
  <si>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</si>
  <si>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</si>
  <si>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</si>
  <si>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</si>
  <si>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</si>
  <si>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</si>
  <si>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</si>
  <si>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</si>
  <si>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</si>
  <si>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</si>
  <si>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</si>
  <si>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</si>
  <si>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</si>
  <si>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</si>
  <si>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</si>
  <si>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</si>
  <si>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</si>
  <si>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</si>
  <si>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</si>
  <si>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</si>
  <si>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</si>
  <si>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</si>
  <si>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</si>
  <si>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</si>
  <si>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</si>
  <si>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 xml:space="preserve"> - расходы по погребению Почетного гражданина муниципального образования «Город Майкоп»</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</si>
  <si>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</si>
  <si>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</si>
  <si>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</si>
  <si>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</si>
  <si>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</si>
  <si>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</si>
  <si>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</si>
  <si>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</si>
  <si>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</si>
  <si>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</si>
  <si>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</si>
  <si>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</si>
  <si>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</si>
  <si>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</si>
  <si>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</si>
  <si>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</si>
  <si>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</si>
  <si>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</si>
  <si>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</si>
  <si>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</si>
  <si>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</si>
  <si>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</si>
  <si>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</si>
  <si>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</si>
  <si>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</si>
  <si>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</si>
  <si>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</si>
  <si>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</si>
  <si>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</si>
  <si>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</si>
  <si>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</si>
  <si>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</si>
  <si>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</si>
  <si>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</si>
  <si>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15 3 01 00021</t>
  </si>
  <si>
    <t>15 3 01 00022</t>
  </si>
  <si>
    <t>15 3 01 00025</t>
  </si>
  <si>
    <t>15 3 01 00029</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</si>
  <si>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</si>
  <si>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</si>
  <si>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</si>
  <si>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</si>
  <si>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</si>
  <si>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</si>
  <si>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</si>
  <si>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</si>
  <si>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</si>
  <si>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</si>
  <si>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</si>
  <si>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</si>
  <si>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</si>
  <si>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</si>
  <si>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</si>
  <si>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</si>
  <si>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</si>
  <si>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</si>
  <si>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</si>
  <si>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</si>
  <si>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</si>
  <si>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</si>
  <si>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</si>
  <si>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</si>
  <si>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</si>
  <si>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</si>
  <si>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</si>
  <si>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</si>
  <si>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</si>
  <si>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</si>
  <si>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</si>
  <si>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</si>
  <si>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</si>
  <si>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</si>
  <si>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</si>
  <si>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</si>
  <si>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</si>
  <si>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</si>
  <si>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</si>
  <si>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</si>
  <si>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</si>
  <si>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</si>
  <si>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</si>
  <si>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</si>
  <si>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</si>
  <si>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</si>
  <si>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</si>
  <si>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</si>
  <si>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</si>
  <si>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</si>
  <si>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</si>
  <si>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</si>
  <si>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</si>
  <si>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</si>
  <si>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</si>
  <si>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</si>
  <si>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</si>
  <si>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</si>
  <si>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</si>
  <si>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</si>
  <si>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</si>
  <si>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</si>
  <si>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</si>
  <si>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</si>
  <si>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</si>
  <si>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</si>
  <si>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</si>
  <si>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</si>
  <si>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</si>
  <si>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</si>
  <si>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</si>
  <si>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</si>
  <si>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</si>
  <si>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</si>
  <si>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</si>
  <si>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</si>
  <si>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</si>
  <si>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</si>
  <si>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</si>
  <si>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</si>
  <si>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</si>
  <si>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</si>
  <si>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</si>
  <si>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</si>
  <si>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</si>
  <si>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</si>
  <si>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</si>
  <si>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</si>
  <si>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</si>
  <si>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</si>
  <si>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</si>
  <si>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</si>
  <si>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</si>
  <si>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</si>
  <si>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</si>
  <si>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</si>
  <si>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</si>
  <si>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</si>
  <si>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</si>
  <si>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</si>
  <si>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</si>
  <si>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</si>
  <si>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</si>
  <si>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</si>
  <si>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</si>
  <si>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</si>
  <si>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</si>
  <si>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</si>
  <si>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</si>
  <si>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</si>
  <si>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</si>
  <si>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</si>
  <si>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</si>
  <si>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</si>
  <si>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</si>
  <si>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</si>
  <si>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</si>
  <si>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</si>
  <si>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</si>
  <si>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</si>
  <si>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</si>
  <si>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</si>
  <si>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</si>
  <si>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</si>
  <si>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</si>
  <si>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</si>
  <si>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</si>
  <si>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</si>
  <si>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</si>
  <si>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</si>
  <si>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</si>
  <si>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</si>
  <si>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</si>
  <si>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</si>
  <si>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</si>
  <si>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</si>
  <si>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</si>
  <si>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</si>
  <si>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</si>
  <si>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</si>
  <si>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</si>
  <si>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</si>
  <si>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</si>
  <si>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</si>
  <si>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</si>
  <si>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</si>
  <si>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</si>
  <si>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</si>
  <si>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</si>
  <si>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</si>
  <si>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</si>
  <si>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</si>
  <si>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</si>
  <si>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</si>
  <si>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</si>
  <si>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</si>
  <si>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</si>
  <si>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</si>
  <si>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</si>
  <si>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</si>
  <si>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</si>
  <si>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</si>
  <si>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</si>
  <si>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</si>
  <si>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</si>
  <si>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</si>
  <si>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</si>
  <si>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</si>
  <si>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</si>
  <si>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</si>
  <si>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</si>
  <si>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</si>
  <si>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</si>
  <si>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</si>
  <si>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</si>
  <si>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</si>
  <si>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</si>
  <si>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</si>
  <si>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</si>
  <si>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</si>
  <si>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</si>
  <si>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</si>
  <si>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</si>
  <si>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</si>
  <si>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</si>
  <si>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</si>
  <si>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</si>
  <si>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</si>
  <si>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</si>
  <si>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</si>
  <si>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</si>
  <si>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</si>
  <si>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</si>
  <si>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</si>
  <si>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</si>
  <si>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</si>
  <si>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</si>
  <si>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</si>
  <si>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</si>
  <si>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</si>
  <si>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</si>
  <si>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</si>
  <si>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</si>
  <si>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</si>
  <si>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</si>
  <si>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</si>
  <si>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</si>
  <si>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</si>
  <si>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</si>
  <si>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</si>
  <si>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</si>
  <si>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</si>
  <si>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</si>
  <si>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</si>
  <si>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</si>
  <si>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</si>
  <si>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</si>
  <si>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</si>
  <si>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</si>
  <si>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</si>
  <si>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</si>
  <si>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</si>
  <si>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</si>
  <si>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</si>
  <si>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</si>
  <si>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</si>
  <si>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</si>
  <si>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</si>
  <si>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</si>
  <si>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</si>
  <si>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</si>
  <si>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</si>
  <si>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</si>
  <si>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</si>
  <si>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</si>
  <si>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</si>
  <si>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</si>
  <si>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</si>
  <si>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</si>
  <si>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</si>
  <si>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</si>
  <si>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</si>
  <si>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</si>
  <si>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</si>
  <si>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</si>
  <si>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</si>
  <si>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</si>
  <si>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</si>
  <si>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</si>
  <si>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</si>
  <si>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</si>
  <si>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</si>
  <si>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</si>
  <si>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</si>
  <si>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</si>
  <si>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</si>
  <si>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</si>
  <si>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</si>
  <si>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</si>
  <si>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</si>
  <si>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</si>
  <si>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</si>
  <si>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</si>
  <si>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</si>
  <si>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</si>
  <si>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</si>
  <si>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</si>
  <si>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28 2 03 00000</t>
  </si>
  <si>
    <t>28 2 03 02270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</si>
  <si>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</si>
  <si>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</si>
  <si>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</si>
  <si>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</si>
  <si>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</si>
  <si>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</si>
  <si>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</si>
  <si>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</si>
  <si>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</si>
  <si>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</si>
  <si>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</si>
  <si>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</si>
  <si>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</si>
  <si>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</si>
  <si>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</si>
  <si>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</si>
  <si>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</si>
  <si>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</si>
  <si>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</si>
  <si>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</si>
  <si>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</si>
  <si>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</si>
  <si>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28 2 04 00000</t>
  </si>
  <si>
    <t>28 2 04 02940</t>
  </si>
  <si>
    <t xml:space="preserve"> - выявление и оценка накопленного вреда окружающей среде, в том числе проведение инженерных изысканий на таких объектах</t>
  </si>
  <si>
    <t>Сумма на 2025 год</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</si>
  <si>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</si>
  <si>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</si>
  <si>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</si>
  <si>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15 2 02 00060</t>
  </si>
  <si>
    <t>- осуществление капитального ремонта бюджетных (автономных) учреждений</t>
  </si>
  <si>
    <t>15 5 00 00000</t>
  </si>
  <si>
    <t>15 5 01 00000</t>
  </si>
  <si>
    <t xml:space="preserve"> - расходы на проведение работ по осуществлению антитеррористической безопасности</t>
  </si>
  <si>
    <t>15 5 01 02990</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</si>
  <si>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</si>
  <si>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</si>
  <si>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 xml:space="preserve"> - поддержка талантливой молодежи, развитие интеллектуальных, нравственных и духовных ценностей</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</si>
  <si>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</si>
  <si>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</si>
  <si>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</si>
  <si>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</si>
  <si>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</si>
  <si>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</si>
  <si>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</si>
  <si>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 xml:space="preserve"> - проведение комплекса мероприятий по созданию систем информационной безопасности</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</si>
  <si>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</si>
  <si>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</si>
  <si>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</si>
  <si>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</si>
  <si>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</si>
  <si>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</si>
  <si>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</si>
  <si>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</si>
  <si>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</si>
  <si>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</si>
  <si>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</si>
  <si>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</si>
  <si>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</si>
  <si>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</si>
  <si>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</si>
  <si>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</si>
  <si>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</si>
  <si>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</si>
  <si>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</si>
  <si>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</si>
  <si>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</si>
  <si>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</si>
  <si>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</si>
  <si>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</si>
  <si>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</si>
  <si>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</si>
  <si>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</si>
  <si>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</si>
  <si>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</si>
  <si>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</si>
  <si>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</si>
  <si>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</si>
  <si>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</si>
  <si>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</si>
  <si>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</si>
  <si>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</si>
  <si>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</si>
  <si>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</si>
  <si>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</si>
  <si>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</si>
  <si>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</si>
  <si>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</si>
  <si>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</si>
  <si>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</si>
  <si>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</si>
  <si>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</si>
  <si>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</si>
  <si>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</si>
  <si>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</si>
  <si>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</si>
  <si>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</si>
  <si>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</si>
  <si>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</si>
  <si>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</si>
  <si>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</si>
  <si>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</si>
  <si>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</si>
  <si>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</si>
  <si>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</si>
  <si>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</si>
  <si>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</si>
  <si>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</si>
  <si>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</si>
  <si>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</si>
  <si>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</si>
  <si>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</si>
  <si>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</si>
  <si>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</si>
  <si>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</si>
  <si>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</si>
  <si>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</si>
  <si>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</si>
  <si>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</si>
  <si>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</si>
  <si>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</si>
  <si>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</si>
  <si>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</si>
  <si>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</si>
  <si>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</si>
  <si>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</si>
  <si>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</si>
  <si>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</si>
  <si>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</si>
  <si>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</si>
  <si>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</si>
  <si>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</si>
  <si>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</si>
  <si>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</si>
  <si>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</si>
  <si>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</si>
  <si>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</si>
  <si>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</si>
  <si>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</si>
  <si>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</si>
  <si>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</si>
  <si>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</si>
  <si>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</si>
  <si>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</si>
  <si>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</si>
  <si>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</si>
  <si>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</si>
  <si>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</si>
  <si>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</si>
  <si>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</si>
  <si>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</si>
  <si>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</si>
  <si>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</si>
  <si>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</si>
  <si>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</si>
  <si>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</si>
  <si>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</si>
  <si>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</si>
  <si>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</si>
  <si>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</si>
  <si>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</si>
  <si>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</si>
  <si>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</si>
  <si>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</si>
  <si>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</si>
  <si>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</si>
  <si>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</si>
  <si>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</si>
  <si>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</si>
  <si>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</si>
  <si>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</si>
  <si>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</si>
  <si>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</si>
  <si>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</si>
  <si>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</si>
  <si>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</si>
  <si>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</si>
  <si>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</si>
  <si>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</si>
  <si>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</si>
  <si>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</si>
  <si>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</si>
  <si>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</si>
  <si>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</si>
  <si>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</si>
  <si>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</si>
  <si>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</si>
  <si>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</si>
  <si>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</si>
  <si>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</si>
  <si>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</si>
  <si>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</si>
  <si>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</si>
  <si>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</si>
  <si>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</si>
  <si>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</si>
  <si>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</si>
  <si>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</si>
  <si>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</si>
  <si>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</si>
  <si>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</si>
  <si>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</si>
  <si>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</si>
  <si>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</si>
  <si>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</si>
  <si>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</si>
  <si>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</si>
  <si>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</si>
  <si>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35 1 01 03350</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</si>
  <si>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</si>
  <si>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</si>
  <si>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</si>
  <si>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</si>
  <si>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</si>
  <si>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</si>
  <si>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</si>
  <si>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</si>
  <si>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</si>
  <si>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97 0 00 61100</t>
  </si>
  <si>
    <t>97 0 00 61200</t>
  </si>
  <si>
    <t>97 0 00 62700</t>
  </si>
  <si>
    <t>98 0 00 00180</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</si>
  <si>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</si>
  <si>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</si>
  <si>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15 1 02 00320</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</si>
  <si>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</si>
  <si>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</si>
  <si>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</si>
  <si>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</si>
  <si>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</si>
  <si>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</si>
  <si>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</si>
  <si>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</si>
  <si>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28 2 01 03550</t>
  </si>
  <si>
    <t>муниципального образования «Город Майкоп»  на 2025 год и на плановый период 2026 и 2027 годов</t>
  </si>
  <si>
    <t>Сумма на 2027 год</t>
  </si>
  <si>
    <t>классификации расходов бюджета на 2025 год и на плановый период 2026 и 2027 годов</t>
  </si>
  <si>
    <t>Перечень муниципальных программ муниципального образования «Город Майкоп»
 с распределением бюджетных ассигнований на 2025 год и на плановый период 2026 и 2027 годов</t>
  </si>
  <si>
    <t>классификации расходов бюджета  на 2025 год и на плановый период 2026 и 2027 годов</t>
  </si>
  <si>
    <t>37 1 02 00027</t>
  </si>
  <si>
    <t>22 1 01 00027</t>
  </si>
  <si>
    <t>22 1 02 00027</t>
  </si>
  <si>
    <t>15 1 01 0002Ц</t>
  </si>
  <si>
    <t>15 1 02 03490</t>
  </si>
  <si>
    <t xml:space="preserve"> - расходы на проведение работ по благоустройству территорий муниципальных дошкольных образовательных учреждений (в том числе разработка проектно-сметной документации)</t>
  </si>
  <si>
    <t>15 2 07 00000</t>
  </si>
  <si>
    <t>15 2 07 03500</t>
  </si>
  <si>
    <t>- расходы на реализацию мероприятий, направленных на содействие созданию новых мест в общеобразовательных организациях</t>
  </si>
  <si>
    <t xml:space="preserve"> - расходы на проведение работ по изготовлению и установке архитектурно-скульптурных сооружений малой формы на территории образовательных учреждений с целью увековечения памяти</t>
  </si>
  <si>
    <t>98 0 00 03510</t>
  </si>
  <si>
    <t>28 3 01 03580</t>
  </si>
  <si>
    <t>28 3 04 00000</t>
  </si>
  <si>
    <t>28 3 04 00020</t>
  </si>
  <si>
    <t>28 3 04 00021</t>
  </si>
  <si>
    <t>28 3 04 00022</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</si>
  <si>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</si>
  <si>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(коммунальные услуги)</t>
  </si>
  <si>
    <t>28 2 01 03540</t>
  </si>
  <si>
    <t>19 0 01 03590</t>
  </si>
  <si>
    <t>- предоставление субсидии Ассоциации по координации деятельности органов территориального общественного самоуправления в муниципальном образовании «Город Майкоп»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</si>
  <si>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 )</t>
  </si>
  <si>
    <t xml:space="preserve"> - основное мероприятие «Содействие созданию новых мест в общеобразовательных организациях» </t>
  </si>
  <si>
    <t xml:space="preserve"> - расходы на содержание общественной территории «Бульвар 55 лет Победы»</t>
  </si>
  <si>
    <t xml:space="preserve"> - расходы на содержание лесопарковой зоны «Мэздах»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</si>
  <si>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</si>
  <si>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 xml:space="preserve"> - основное мероприятие «Оказание банных услуг гражданам»</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</si>
  <si>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t>
  </si>
  <si>
    <t xml:space="preserve"> - основное мероприятие «Содействие созданию новых мест в общеобразовательных организациях»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</si>
  <si>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</si>
  <si>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22 1 01 L5190</t>
  </si>
  <si>
    <t xml:space="preserve"> - поддержка отрасли культуры </t>
  </si>
  <si>
    <t>15 1 Я1 00000</t>
  </si>
  <si>
    <t>- основное мероприятие «Реализация Федерального проекта «Поддержка семьи»</t>
  </si>
  <si>
    <t>15 1 Я1 53150</t>
  </si>
  <si>
    <t xml:space="preserve"> - реализация мероприятий по проведению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</si>
  <si>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 поддержка отрасли культуры (поддержка лучших работников сельских учреждений культуры)</t>
  </si>
  <si>
    <t>- основное мероприятие «Реализация Федерального проекта «Модернизация коммунальной инфраструктуры»</t>
  </si>
  <si>
    <t>28 3 И3 00000</t>
  </si>
  <si>
    <t>28 3 И3 51540</t>
  </si>
  <si>
    <t>- реализация мероприятий по модернизации коммунальной инфраструктуры</t>
  </si>
  <si>
    <t xml:space="preserve"> - расходы на обеспечение ликвидации и рекультивации несанкционированных и санкционированных свалок</t>
  </si>
  <si>
    <t>28 2 04 S1130</t>
  </si>
  <si>
    <t xml:space="preserve"> - расходы на ообеспечение мероприятий по переселению граждан из аварийного жилищного фонда за счет средств федерального, республиканского и местного бюджетов</t>
  </si>
  <si>
    <t>15 2 Ю4 00000</t>
  </si>
  <si>
    <t xml:space="preserve">- основное мероприятие «Реализация Федерального проекта «Все лучшее детям» </t>
  </si>
  <si>
    <t>15 2 Ю4 57500</t>
  </si>
  <si>
    <t>15 2 Ю6 00000</t>
  </si>
  <si>
    <t xml:space="preserve"> - основное мероприятие «Реализация Федерального проекта «Педагоги и наставники»   </t>
  </si>
  <si>
    <t>15 2 Ю6 50500</t>
  </si>
  <si>
    <t xml:space="preserve">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</si>
  <si>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Ю6 51790</t>
  </si>
  <si>
    <t>15 2 Ю6 53030</t>
  </si>
  <si>
    <t>36 2 И2 00000</t>
  </si>
  <si>
    <t xml:space="preserve"> - основное мероприятие «Реализация Федерального проекта «Жилье» </t>
  </si>
  <si>
    <t>36 2 И2 67484</t>
  </si>
  <si>
    <t>36 2 И2 67480</t>
  </si>
  <si>
    <t>36 2 И2 60350</t>
  </si>
  <si>
    <t>28 1 03 9Д100</t>
  </si>
  <si>
    <t>28 1 И8 00000</t>
  </si>
  <si>
    <t>28 1 И8 9Д100</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</si>
  <si>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</si>
  <si>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31 0 И4 00000</t>
  </si>
  <si>
    <t>31 0 И4 54240</t>
  </si>
  <si>
    <t xml:space="preserve"> - ссоздание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</si>
  <si>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И4 55550</t>
  </si>
  <si>
    <t>от 25.12.2024  № 84-рс</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</si>
  <si>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обучающихся</t>
  </si>
  <si>
    <t>15 4 07 00000</t>
  </si>
  <si>
    <t xml:space="preserve"> - основное мероприятие «Поддержка социально ориентированных некоммерческих организаций»</t>
  </si>
  <si>
    <t>15 4 07 03630</t>
  </si>
  <si>
    <t>22 1 04 03640</t>
  </si>
  <si>
    <t xml:space="preserve"> -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«Полевая кухня» в рамках празднования Дня Победы в муниципальном образовании «Город Майкоп»</t>
  </si>
  <si>
    <t>33 2 02 00000</t>
  </si>
  <si>
    <t>33 2 02 03120</t>
  </si>
  <si>
    <t>- приобретение ярмарочной атрибутики</t>
  </si>
  <si>
    <t xml:space="preserve"> - основное мероприятие «Популяризация ярмарок выходного дня» </t>
  </si>
  <si>
    <t>99 0 00 03650</t>
  </si>
  <si>
    <t xml:space="preserve"> - денежное поощрение победителей Конкурса на лучшую организацию праздничной торговли и бытового обслуживания населения в предпраздничные и праздничные дни Нового 2025 года</t>
  </si>
  <si>
    <t>99 0 00 03660</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</si>
  <si>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в целях финансового обеспечения затрат, связанных с организацией мероприятий, посвященных празднованию 80-летия Победы в Великой Отечественной войне</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</si>
  <si>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выполнением работ по переоценке запасов подземных вод на участке действующего водозабора на Гавердовском участке Майкопского месторождения пресных подземных вод</t>
  </si>
  <si>
    <t>28 3 01 03020</t>
  </si>
  <si>
    <t xml:space="preserve"> - основное мероприятие «Реализация Федерального проекта «Культурная среда»</t>
  </si>
  <si>
    <t>22 1 А1 00000</t>
  </si>
  <si>
    <t xml:space="preserve"> - развитие сети учреждений культурно-досугового типа</t>
  </si>
  <si>
    <t>22 1 А1 55130</t>
  </si>
  <si>
    <t>28 2 03 03690</t>
  </si>
  <si>
    <t>- субсидия в целях финансового обеспечения затрат, связанных с развитием муниципального унитарного предприятия «Городской парк культуры и отдыха» муниципального образования «Город Майкоп»</t>
  </si>
  <si>
    <t xml:space="preserve"> - частичная компенсация расходов на повышение оплаты труда работников бюджетной сферы</t>
  </si>
  <si>
    <t>15 1 01 S5500</t>
  </si>
  <si>
    <t xml:space="preserve"> - частичная компенсация расходов на повышение оплаты труда работников бюджетной сферы (за счет республиканского бюджета)</t>
  </si>
  <si>
    <t>15 1 01  S5501</t>
  </si>
  <si>
    <t>15 3 01 S5500</t>
  </si>
  <si>
    <t xml:space="preserve"> - частичная компенсация расходов на повышение оплаты труда работников бюджетной сферы (за счет средств республиканского бюджета)</t>
  </si>
  <si>
    <t>15 3 01  S5501</t>
  </si>
  <si>
    <t>28 3 01 01970</t>
  </si>
  <si>
    <t xml:space="preserve"> - строительство объектов инженерной инфраструктуры коммунального хозяйства</t>
  </si>
  <si>
    <t>22 2 J1 00000</t>
  </si>
  <si>
    <t xml:space="preserve"> - основное мероприятие  «Реализация Федерального проекта  «Развитие туристической инфраструктуры» </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</si>
  <si>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t>
  </si>
  <si>
    <t>22 2 J1 55580</t>
  </si>
  <si>
    <t>22 2 J1 55584</t>
  </si>
  <si>
    <t>-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</si>
  <si>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05 0 02 00000</t>
  </si>
  <si>
    <t xml:space="preserve"> - основное мероприятие «Обновление подвижного состава наземного общественного пассажирского транспорта на территории муниципального образования «Город Майкоп»</t>
  </si>
  <si>
    <t xml:space="preserve"> - реализация инфраструктурных проектов, источником финанcового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t>
  </si>
  <si>
    <t>05 0 02 98000</t>
  </si>
  <si>
    <t>05 0 02 98001</t>
  </si>
  <si>
    <t xml:space="preserve"> - реализация инфраструктурных проектов, источником финансового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 (обновление подвижного состава наземного общественного транспорта на территории муниципального образования «Город Майкоп»)</t>
  </si>
  <si>
    <t>15 5 02 00000</t>
  </si>
  <si>
    <t xml:space="preserve"> - основное мероприятие «Пожарная безопасность образовательных организаций муниципального образования «Город Майкоп»</t>
  </si>
  <si>
    <t>15 5 02 03010</t>
  </si>
  <si>
    <t xml:space="preserve"> - расходы на проведение работ по осуществлению пожарной безопасности</t>
  </si>
  <si>
    <t>15 1 01  S5502</t>
  </si>
  <si>
    <t xml:space="preserve"> - частичная компенсация расходов на повышение оплаты труда работников бюджетной сферы (за счет средств местного бюджета)</t>
  </si>
  <si>
    <t>15 3 01  S5502</t>
  </si>
  <si>
    <t xml:space="preserve"> - приобретение новогодних подарков для проведения новогодних мероприятий</t>
  </si>
  <si>
    <t>98 0 00 03310</t>
  </si>
  <si>
    <t>15 3 05 00000</t>
  </si>
  <si>
    <t xml:space="preserve"> - основное мероприятие  «Обеспечение функционирования дополнительного образования (реализация дополнительных общеразвивающих программ)»</t>
  </si>
  <si>
    <t xml:space="preserve"> - расходы на финасовое обеспечение оказания услуг организациями дополнительного образования</t>
  </si>
  <si>
    <t>15 3 05 03400</t>
  </si>
  <si>
    <t>22 1 02 L5190</t>
  </si>
  <si>
    <t xml:space="preserve"> - поддержка отрасли культуры</t>
  </si>
  <si>
    <t>22 1 02 L5195</t>
  </si>
  <si>
    <t>34 3 03 03150</t>
  </si>
  <si>
    <t xml:space="preserve"> - расходы на содержание и ремонт объектов гражданской обороны на территории муниципального образования «Город Майкоп» </t>
  </si>
  <si>
    <t>34 4 01 00000</t>
  </si>
  <si>
    <t xml:space="preserve"> - основное мероприятие «Построение и развитие АПК «Безопасный город» </t>
  </si>
  <si>
    <t>34 4 01 03670</t>
  </si>
  <si>
    <t xml:space="preserve"> - укрепление материально-технической базы комплекса АПК «Безопасный город» </t>
  </si>
  <si>
    <t>36 2 И2 6748S</t>
  </si>
  <si>
    <t xml:space="preserve"> - обеспечение мероприятий по переселению граждан из аварийного жилищного фонда за счет средст местного бюджета</t>
  </si>
  <si>
    <t>33 1 01 01310</t>
  </si>
  <si>
    <t xml:space="preserve">  - организация повышения квалификации руководителей и специалистов Администрации муниципального образования «Город Майкоп» </t>
  </si>
  <si>
    <t xml:space="preserve"> - жилищное хозяйство</t>
  </si>
  <si>
    <t>98 0 00 03170</t>
  </si>
  <si>
    <t xml:space="preserve"> - расходы на выполнение работ по ремонту жилых помещений на территории муниципального образования «Город Майкоп»</t>
  </si>
  <si>
    <t>28 3 04 00025</t>
  </si>
  <si>
    <t>28 3 04 00029</t>
  </si>
  <si>
    <t xml:space="preserve"> - расходы на обеспечение деятельности муниципальных бюджетных (автономных) учреждений (прочие расходы)</t>
  </si>
  <si>
    <t xml:space="preserve"> - расходы на предоставление молодым семьям дополнительной социальной выплаты при рождении (усыновлении) первого ребенка</t>
  </si>
  <si>
    <t>36 1 02 S0540</t>
  </si>
  <si>
    <t xml:space="preserve"> - основное мероприятие  «Пожарная безопасность образовательных организаций муниципального образования «Город Майкоп»</t>
  </si>
  <si>
    <t>Приложение №4</t>
  </si>
  <si>
    <t xml:space="preserve"> Приложение №6</t>
  </si>
  <si>
    <t>99 0 00 03570</t>
  </si>
  <si>
    <t xml:space="preserve"> - субсидия в целях финансового обеспечения затрат на погашение кредиторской задолженности по налогам, сборам, пеням Муниципальному унитарному предприятию «Майкопское троллейбусное управление» муниципального образования «Город Майкоп»</t>
  </si>
  <si>
    <t xml:space="preserve">от   №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</si>
</sst>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 _₽"/>
    <numFmt numFmtId="171" formatCode="_-* #,##0.0\ _₽_-;\-* #,##0.0\ _₽_-;_-* &quot;-&quot;?\ _₽_-;_-@_-"/>
  </numFmts>
  <fonts count="21"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sz val="10"/>
      <name val="Arial Cyr"/>
    </font>
    <font>
      <sz val="14"/>
      <name val="Times New Roman"/>
      <family val="1"/>
      <charset val="204"/>
    </font>
    <font>
      <sz val="10"/>
      <name val="Arial Cyr"/>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xf numFmtId="4" fontId="14" fillId="7" borderId="7">
      <alignment horizontal="right" vertical="top" shrinkToFit="1"/>
    </xf>
  </cellStyleXfs>
  <cellXfs count="262">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0" fontId="9" fillId="0" borderId="1" xfId="0" applyNumberFormat="1" applyFont="1" applyFill="1" applyBorder="1" applyAlignment="1">
      <alignment horizontal="right" vertical="center" wrapText="1"/>
    </xf>
    <xf numFmtId="170" fontId="9" fillId="6" borderId="1" xfId="0" applyNumberFormat="1" applyFont="1" applyFill="1" applyBorder="1" applyAlignment="1">
      <alignment horizontal="right" vertical="center" wrapText="1"/>
    </xf>
    <xf numFmtId="170" fontId="17" fillId="0"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wrapText="1"/>
    </xf>
    <xf numFmtId="170" fontId="9" fillId="4"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xf>
    <xf numFmtId="170" fontId="3" fillId="0" borderId="1" xfId="0" applyNumberFormat="1" applyFont="1" applyFill="1" applyBorder="1" applyAlignment="1">
      <alignment horizontal="right" vertical="center" wrapText="1"/>
    </xf>
    <xf numFmtId="170" fontId="5" fillId="0" borderId="2" xfId="0" applyNumberFormat="1" applyFont="1" applyFill="1" applyBorder="1" applyAlignment="1">
      <alignment horizontal="right" vertical="center" wrapText="1"/>
    </xf>
    <xf numFmtId="171" fontId="3" fillId="0" borderId="1" xfId="0" applyNumberFormat="1" applyFont="1" applyFill="1" applyBorder="1" applyAlignment="1">
      <alignment horizontal="right" vertical="top" wrapText="1"/>
    </xf>
    <xf numFmtId="171" fontId="8" fillId="0" borderId="1" xfId="0" applyNumberFormat="1" applyFont="1" applyFill="1" applyBorder="1" applyAlignment="1">
      <alignment horizontal="right" vertical="top" wrapText="1"/>
    </xf>
    <xf numFmtId="171" fontId="1" fillId="0" borderId="1" xfId="0" applyNumberFormat="1" applyFont="1" applyFill="1" applyBorder="1" applyAlignment="1">
      <alignment horizontal="right" vertical="top" wrapText="1"/>
    </xf>
    <xf numFmtId="171" fontId="8" fillId="3" borderId="2"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71" fontId="1" fillId="0" borderId="2" xfId="0" applyNumberFormat="1" applyFont="1" applyFill="1" applyBorder="1" applyAlignment="1">
      <alignment horizontal="right" vertical="center" wrapText="1"/>
    </xf>
    <xf numFmtId="171" fontId="8" fillId="3" borderId="1" xfId="0" applyNumberFormat="1" applyFont="1" applyFill="1" applyBorder="1" applyAlignment="1">
      <alignment horizontal="right" vertical="center" wrapText="1"/>
    </xf>
    <xf numFmtId="171"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5" fontId="2" fillId="0" borderId="0" xfId="0" applyNumberFormat="1" applyFont="1" applyFill="1" applyAlignment="1">
      <alignment horizontal="center"/>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0"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165" fontId="2" fillId="0" borderId="0" xfId="0" applyNumberFormat="1" applyFont="1" applyFill="1" applyAlignment="1">
      <alignment horizontal="left" vertical="top"/>
    </xf>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1" fontId="3" fillId="0" borderId="0" xfId="0" applyNumberFormat="1" applyFont="1" applyFill="1" applyAlignment="1">
      <alignment horizontal="center"/>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1" fontId="8" fillId="0" borderId="0" xfId="0" applyNumberFormat="1" applyFont="1" applyFill="1" applyBorder="1" applyAlignment="1">
      <alignment horizontal="right" vertical="center" wrapText="1"/>
    </xf>
    <xf numFmtId="0" fontId="2" fillId="0" borderId="0" xfId="0" applyFont="1" applyFill="1" applyAlignment="1">
      <alignment vertical="center"/>
    </xf>
    <xf numFmtId="165" fontId="2" fillId="0" borderId="0" xfId="0" applyNumberFormat="1" applyFont="1" applyFill="1" applyAlignment="1">
      <alignment horizontal="right"/>
    </xf>
    <xf numFmtId="170" fontId="11" fillId="0" borderId="0" xfId="0" applyNumberFormat="1" applyFont="1" applyFill="1" applyAlignment="1">
      <alignment horizontal="left"/>
    </xf>
    <xf numFmtId="165" fontId="2" fillId="0" borderId="6" xfId="0" applyNumberFormat="1" applyFont="1" applyFill="1" applyBorder="1" applyAlignment="1">
      <alignment horizontal="left" vertical="center"/>
    </xf>
    <xf numFmtId="165" fontId="2" fillId="0" borderId="0" xfId="0" applyNumberFormat="1" applyFont="1" applyFill="1" applyAlignment="1">
      <alignment horizontal="left" vertical="center"/>
    </xf>
    <xf numFmtId="168" fontId="11" fillId="0" borderId="0" xfId="0" applyNumberFormat="1" applyFont="1" applyFill="1"/>
    <xf numFmtId="0" fontId="2" fillId="0" borderId="6" xfId="0" applyFont="1" applyFill="1" applyBorder="1" applyAlignment="1">
      <alignment horizontal="center"/>
    </xf>
    <xf numFmtId="49" fontId="2" fillId="0" borderId="6" xfId="0" applyNumberFormat="1" applyFont="1" applyFill="1" applyBorder="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center"/>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4" fontId="18" fillId="0" borderId="0" xfId="3" applyNumberFormat="1" applyFont="1" applyFill="1" applyBorder="1" applyProtection="1">
      <alignment horizontal="right" vertical="top" shrinkToFit="1"/>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9" fontId="2" fillId="0" borderId="0" xfId="0" applyNumberFormat="1" applyFont="1" applyFill="1"/>
    <xf numFmtId="0" fontId="1" fillId="0" borderId="0" xfId="0" applyFont="1" applyFill="1" applyAlignment="1">
      <alignment horizontal="center" vertical="center"/>
    </xf>
    <xf numFmtId="170" fontId="1" fillId="0" borderId="0" xfId="0" applyNumberFormat="1" applyFont="1" applyFill="1" applyAlignment="1">
      <alignment horizontal="center" vertical="center"/>
    </xf>
    <xf numFmtId="0" fontId="1" fillId="0" borderId="0" xfId="0" applyFont="1" applyFill="1" applyAlignment="1">
      <alignment horizontal="right" vertical="center"/>
    </xf>
    <xf numFmtId="168" fontId="2" fillId="0" borderId="0" xfId="0" applyNumberFormat="1" applyFont="1" applyFill="1" applyAlignment="1">
      <alignment horizontal="center" vertical="center"/>
    </xf>
    <xf numFmtId="0" fontId="11" fillId="0" borderId="0" xfId="0" applyFont="1" applyFill="1" applyAlignment="1">
      <alignment vertical="center"/>
    </xf>
    <xf numFmtId="170" fontId="11" fillId="0" borderId="0" xfId="0" applyNumberFormat="1" applyFont="1" applyFill="1" applyAlignment="1">
      <alignment vertical="center"/>
    </xf>
    <xf numFmtId="4" fontId="20"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0" fontId="2" fillId="0" borderId="0" xfId="0" applyFont="1" applyFill="1" applyAlignment="1">
      <alignment horizontal="right"/>
    </xf>
    <xf numFmtId="0" fontId="2" fillId="0" borderId="0" xfId="0" applyFont="1" applyFill="1" applyAlignment="1">
      <alignment horizontal="right" vertical="center"/>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65" fontId="2" fillId="0" borderId="0" xfId="0" applyNumberFormat="1" applyFont="1" applyFill="1"/>
    <xf numFmtId="0" fontId="2" fillId="0" borderId="0" xfId="0" applyFont="1" applyFill="1" applyBorder="1" applyAlignment="1">
      <alignment horizontal="right"/>
    </xf>
    <xf numFmtId="0" fontId="2" fillId="0" borderId="6" xfId="0" applyFont="1" applyFill="1" applyBorder="1" applyAlignment="1">
      <alignment horizontal="right" vertical="center"/>
    </xf>
    <xf numFmtId="164" fontId="9" fillId="0" borderId="3" xfId="0" applyNumberFormat="1" applyFont="1" applyFill="1" applyBorder="1" applyAlignment="1">
      <alignment horizontal="center" vertical="top" wrapText="1"/>
    </xf>
    <xf numFmtId="168"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wrapText="1"/>
    </xf>
    <xf numFmtId="4" fontId="5" fillId="0" borderId="0" xfId="0" applyNumberFormat="1" applyFont="1" applyFill="1" applyAlignment="1">
      <alignment horizontal="left"/>
    </xf>
    <xf numFmtId="4" fontId="5" fillId="0" borderId="0" xfId="0" applyNumberFormat="1" applyFont="1" applyFill="1"/>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4" fontId="11" fillId="0" borderId="0" xfId="0" applyNumberFormat="1" applyFont="1" applyFill="1" applyAlignment="1">
      <alignment horizontal="left"/>
    </xf>
    <xf numFmtId="168" fontId="9" fillId="0" borderId="0" xfId="0" applyNumberFormat="1" applyFont="1" applyFill="1" applyAlignment="1">
      <alignment horizontal="center" wrapText="1"/>
    </xf>
    <xf numFmtId="4" fontId="11" fillId="0" borderId="0" xfId="0" applyNumberFormat="1" applyFont="1" applyFill="1"/>
    <xf numFmtId="170" fontId="17" fillId="0" borderId="1" xfId="0" applyNumberFormat="1" applyFont="1" applyFill="1" applyBorder="1" applyAlignment="1">
      <alignment horizontal="right" vertical="center"/>
    </xf>
    <xf numFmtId="170" fontId="9" fillId="0" borderId="1" xfId="0" applyNumberFormat="1" applyFont="1" applyFill="1" applyBorder="1" applyAlignment="1">
      <alignment horizontal="right" vertical="center"/>
    </xf>
    <xf numFmtId="170" fontId="9" fillId="0" borderId="2"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166" fontId="5"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2" fillId="0" borderId="6" xfId="0" applyFont="1" applyFill="1" applyBorder="1" applyAlignment="1">
      <alignment horizontal="center" vertical="center"/>
    </xf>
    <xf numFmtId="0" fontId="11" fillId="0" borderId="0" xfId="0" applyFont="1" applyFill="1" applyBorder="1"/>
    <xf numFmtId="4" fontId="18" fillId="0" borderId="0" xfId="5" applyNumberFormat="1" applyFont="1" applyFill="1" applyBorder="1" applyProtection="1">
      <alignment horizontal="right" vertical="top" shrinkToFit="1"/>
    </xf>
    <xf numFmtId="0" fontId="5" fillId="0" borderId="0" xfId="0" applyFont="1" applyFill="1" applyBorder="1" applyAlignment="1">
      <alignment horizontal="left"/>
    </xf>
    <xf numFmtId="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xf numFmtId="0" fontId="9" fillId="0" borderId="0" xfId="0" applyFont="1" applyFill="1" applyBorder="1"/>
    <xf numFmtId="0" fontId="3" fillId="0" borderId="0" xfId="0" applyFont="1" applyFill="1" applyBorder="1"/>
    <xf numFmtId="4" fontId="18" fillId="0" borderId="0" xfId="4" applyNumberFormat="1" applyFont="1" applyFill="1" applyBorder="1" applyProtection="1">
      <alignment horizontal="right" vertical="top" shrinkToFit="1"/>
    </xf>
    <xf numFmtId="169" fontId="11" fillId="0" borderId="0" xfId="0" applyNumberFormat="1" applyFont="1" applyFill="1" applyBorder="1" applyAlignment="1">
      <alignment horizontal="left"/>
    </xf>
    <xf numFmtId="170" fontId="11" fillId="0" borderId="0" xfId="0" applyNumberFormat="1" applyFont="1" applyFill="1" applyBorder="1" applyAlignment="1">
      <alignment horizontal="left"/>
    </xf>
    <xf numFmtId="4" fontId="14" fillId="0" borderId="0" xfId="4" applyNumberFormat="1" applyFill="1" applyBorder="1" applyProtection="1">
      <alignment horizontal="right" vertical="top" shrinkToFit="1"/>
    </xf>
    <xf numFmtId="165" fontId="10" fillId="0" borderId="0" xfId="0" applyNumberFormat="1" applyFont="1" applyFill="1"/>
    <xf numFmtId="4" fontId="1" fillId="0" borderId="0" xfId="0" applyNumberFormat="1" applyFont="1" applyFill="1" applyBorder="1" applyAlignment="1">
      <alignment horizontal="center" vertical="top" wrapText="1"/>
    </xf>
    <xf numFmtId="4" fontId="4" fillId="0" borderId="0" xfId="0" applyNumberFormat="1" applyFont="1" applyFill="1"/>
    <xf numFmtId="49" fontId="2" fillId="0" borderId="0" xfId="0" applyNumberFormat="1" applyFont="1" applyFill="1" applyAlignment="1">
      <alignment wrapText="1"/>
    </xf>
    <xf numFmtId="0" fontId="2" fillId="0" borderId="0" xfId="0" applyFont="1" applyFill="1" applyAlignment="1">
      <alignment horizontal="left"/>
    </xf>
    <xf numFmtId="165" fontId="8" fillId="0" borderId="0" xfId="0" applyNumberFormat="1" applyFont="1" applyFill="1" applyAlignment="1">
      <alignment horizontal="center"/>
    </xf>
    <xf numFmtId="168" fontId="8" fillId="0" borderId="0" xfId="0" applyNumberFormat="1" applyFont="1" applyFill="1" applyBorder="1"/>
    <xf numFmtId="165" fontId="8" fillId="0" borderId="0" xfId="0" applyNumberFormat="1" applyFont="1" applyFill="1" applyBorder="1"/>
    <xf numFmtId="0" fontId="2" fillId="0" borderId="6" xfId="0" applyFont="1" applyFill="1" applyBorder="1" applyAlignment="1">
      <alignment horizontal="center" vertical="top" wrapText="1"/>
    </xf>
    <xf numFmtId="170" fontId="2" fillId="0" borderId="0" xfId="0" applyNumberFormat="1" applyFont="1" applyFill="1" applyAlignment="1"/>
    <xf numFmtId="168" fontId="11" fillId="0" borderId="1" xfId="0" applyNumberFormat="1" applyFont="1" applyFill="1" applyBorder="1" applyAlignment="1">
      <alignment horizontal="right"/>
    </xf>
    <xf numFmtId="0" fontId="9" fillId="0" borderId="0" xfId="0" applyFont="1" applyFill="1" applyAlignment="1">
      <alignment horizontal="left"/>
    </xf>
    <xf numFmtId="0" fontId="9" fillId="0" borderId="0" xfId="0" applyFont="1" applyFill="1" applyBorder="1" applyAlignment="1">
      <alignment horizontal="left"/>
    </xf>
    <xf numFmtId="0" fontId="3" fillId="0" borderId="0" xfId="0" applyFont="1" applyFill="1" applyBorder="1" applyAlignment="1">
      <alignment horizontal="left"/>
    </xf>
    <xf numFmtId="165" fontId="2" fillId="0" borderId="6" xfId="0" applyNumberFormat="1" applyFont="1" applyFill="1" applyBorder="1" applyAlignment="1">
      <alignment horizontal="right"/>
    </xf>
    <xf numFmtId="165" fontId="2" fillId="0" borderId="0" xfId="0" applyNumberFormat="1" applyFont="1" applyFill="1" applyAlignment="1">
      <alignment horizontal="right" vertical="center"/>
    </xf>
    <xf numFmtId="2" fontId="2" fillId="0" borderId="0" xfId="0" applyNumberFormat="1" applyFont="1" applyFill="1" applyAlignment="1">
      <alignment horizontal="left"/>
    </xf>
    <xf numFmtId="2" fontId="2" fillId="0" borderId="0" xfId="0" applyNumberFormat="1" applyFont="1" applyFill="1" applyAlignment="1">
      <alignment horizontal="right"/>
    </xf>
    <xf numFmtId="0" fontId="2" fillId="0" borderId="0" xfId="0" applyNumberFormat="1" applyFont="1" applyFill="1" applyAlignment="1">
      <alignment horizontal="right"/>
    </xf>
    <xf numFmtId="0" fontId="2" fillId="0" borderId="0" xfId="0" applyFont="1" applyFill="1" applyAlignment="1">
      <alignment horizontal="left"/>
    </xf>
    <xf numFmtId="0" fontId="16" fillId="0" borderId="0" xfId="0" applyFont="1" applyFill="1" applyBorder="1"/>
    <xf numFmtId="0" fontId="2" fillId="0" borderId="0" xfId="0" applyFont="1" applyFill="1" applyAlignment="1">
      <alignment horizontal="center" vertical="top"/>
    </xf>
    <xf numFmtId="0" fontId="10" fillId="0" borderId="1" xfId="0" applyFont="1" applyFill="1" applyBorder="1" applyAlignment="1">
      <alignment horizontal="center"/>
    </xf>
    <xf numFmtId="0" fontId="2" fillId="0" borderId="0" xfId="0" applyFont="1" applyFill="1" applyAlignment="1">
      <alignment horizontal="left"/>
    </xf>
    <xf numFmtId="0" fontId="2" fillId="0" borderId="0" xfId="0" applyFont="1" applyFill="1" applyAlignment="1">
      <alignment horizontal="center" vertical="top"/>
    </xf>
    <xf numFmtId="0" fontId="15" fillId="0" borderId="0" xfId="0" applyFont="1" applyFill="1" applyAlignment="1">
      <alignment horizontal="center"/>
    </xf>
    <xf numFmtId="49" fontId="19" fillId="0" borderId="0" xfId="0" applyNumberFormat="1" applyFont="1" applyFill="1" applyBorder="1" applyAlignment="1">
      <alignment horizontal="center" vertical="center" wrapText="1"/>
    </xf>
    <xf numFmtId="49" fontId="2" fillId="0" borderId="0" xfId="0" applyNumberFormat="1" applyFont="1" applyFill="1" applyAlignment="1">
      <alignment wrapText="1"/>
    </xf>
    <xf numFmtId="0" fontId="16" fillId="0" borderId="0" xfId="0" applyFont="1" applyFill="1" applyBorder="1"/>
    <xf numFmtId="0" fontId="6" fillId="0" borderId="0" xfId="0" applyFont="1" applyFill="1" applyAlignment="1">
      <alignment horizontal="center"/>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3" fillId="0" borderId="0" xfId="0" applyFont="1" applyFill="1" applyAlignment="1">
      <alignment horizont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0" borderId="1" xfId="0" applyNumberFormat="1"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cellXfs>
  <cellStyles count="6">
    <cellStyle name="xl26" xfId="3"/>
    <cellStyle name="xl27" xfId="4"/>
    <cellStyle name="xl36" xfId="5"/>
    <cellStyle name="Обычный" xfId="0" builtinId="0"/>
    <cellStyle name="Обычный 2" xfId="1"/>
    <cellStyle name="Процентный" xfId="2" builtinId="5"/>
  </cellStyles>
  <dxfs count="0"/>
  <tableStyles count="0" defaultTableStyle="TableStyleMedium9" defaultPivotStyle="PivotStyleLight16"/>
  <colors>
    <mruColors>
      <color rgb="FF99FF33"/>
      <color rgb="FFFF00FF"/>
      <color rgb="FFFF0000"/>
      <color rgb="FFFF3399"/>
      <color rgb="FFFF99CC"/>
      <color rgb="FFFF99FF"/>
      <color rgb="FF66FFFF"/>
      <color rgb="FFD8E4BC"/>
      <color rgb="FFFF66FF"/>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2:T1209"/>
  <sheetViews>
    <sheetView tabSelected="1" topLeftCell="A34" zoomScale="89" zoomScaleNormal="89" workbookViewId="0">
      <selection activeCell="Q49" sqref="Q49"/>
    </sheetView>
  </sheetViews>
  <sheetFormatPr defaultColWidth="9" defaultRowHeight="15.75" x14ac:dyDescent="0.25"/>
  <cols>
    <col min="1" max="1" width="59" style="9" customWidth="1"/>
    <col min="2" max="2" width="5.5" style="186" customWidth="1"/>
    <col min="3" max="3" width="4.625" style="49" customWidth="1"/>
    <col min="4" max="4" width="6" style="49" customWidth="1"/>
    <col min="5" max="5" width="11.375" style="49" customWidth="1"/>
    <col min="6" max="6" width="5" style="49" customWidth="1"/>
    <col min="7" max="9" width="13.25" style="90" customWidth="1"/>
    <col min="10" max="10" width="11.5" style="139" hidden="1" customWidth="1"/>
    <col min="11" max="11" width="12" style="139" hidden="1" customWidth="1"/>
    <col min="12" max="12" width="13.125" style="139" hidden="1" customWidth="1"/>
    <col min="13" max="13" width="0" style="139" hidden="1" customWidth="1"/>
    <col min="14" max="16" width="9" style="139"/>
    <col min="17" max="19" width="9" style="139" customWidth="1"/>
    <col min="20" max="20" width="9" style="139"/>
    <col min="21" max="16384" width="9" style="84"/>
  </cols>
  <sheetData>
    <row r="2" spans="1:20" x14ac:dyDescent="0.25">
      <c r="G2" s="243" t="s">
        <v>1025</v>
      </c>
      <c r="H2" s="243"/>
      <c r="I2" s="243"/>
    </row>
    <row r="3" spans="1:20" x14ac:dyDescent="0.25">
      <c r="G3" s="139" t="s">
        <v>52</v>
      </c>
      <c r="H3" s="139"/>
      <c r="I3" s="139"/>
    </row>
    <row r="4" spans="1:20" x14ac:dyDescent="0.25">
      <c r="G4" s="139" t="s">
        <v>38</v>
      </c>
      <c r="H4" s="139"/>
      <c r="I4" s="139"/>
    </row>
    <row r="5" spans="1:20" x14ac:dyDescent="0.25">
      <c r="G5" s="247" t="s">
        <v>1029</v>
      </c>
      <c r="H5" s="247"/>
      <c r="I5" s="247"/>
    </row>
    <row r="9" spans="1:20" x14ac:dyDescent="0.25">
      <c r="G9" s="243" t="s">
        <v>594</v>
      </c>
      <c r="H9" s="243"/>
      <c r="I9" s="243"/>
      <c r="J9" s="143"/>
      <c r="K9" s="143"/>
      <c r="L9" s="143"/>
      <c r="O9" s="84"/>
      <c r="P9" s="84"/>
      <c r="Q9" s="84"/>
      <c r="R9" s="84"/>
      <c r="S9" s="84"/>
      <c r="T9" s="84"/>
    </row>
    <row r="10" spans="1:20" x14ac:dyDescent="0.25">
      <c r="F10" s="241"/>
      <c r="G10" s="139" t="s">
        <v>52</v>
      </c>
      <c r="H10" s="139"/>
      <c r="I10" s="139"/>
      <c r="J10" s="63"/>
      <c r="K10" s="63"/>
      <c r="L10" s="63"/>
      <c r="O10" s="84"/>
      <c r="P10" s="84"/>
      <c r="Q10" s="84"/>
      <c r="R10" s="84"/>
      <c r="S10" s="84"/>
      <c r="T10" s="84"/>
    </row>
    <row r="11" spans="1:20" x14ac:dyDescent="0.25">
      <c r="F11" s="241"/>
      <c r="G11" s="139" t="s">
        <v>38</v>
      </c>
      <c r="H11" s="139"/>
      <c r="I11" s="139"/>
      <c r="J11" s="183"/>
      <c r="K11" s="183"/>
      <c r="L11" s="183"/>
      <c r="O11" s="84"/>
      <c r="P11" s="84"/>
      <c r="Q11" s="84"/>
      <c r="R11" s="84"/>
      <c r="S11" s="84"/>
      <c r="T11" s="84"/>
    </row>
    <row r="12" spans="1:20" ht="15.75" customHeight="1" x14ac:dyDescent="0.25">
      <c r="F12" s="241"/>
      <c r="G12" s="247" t="s">
        <v>946</v>
      </c>
      <c r="H12" s="247"/>
      <c r="I12" s="247"/>
      <c r="J12" s="246"/>
      <c r="K12" s="246"/>
      <c r="L12" s="246"/>
      <c r="O12" s="84"/>
      <c r="P12" s="84"/>
      <c r="Q12" s="84"/>
      <c r="R12" s="84"/>
      <c r="S12" s="84"/>
      <c r="T12" s="84"/>
    </row>
    <row r="13" spans="1:20" x14ac:dyDescent="0.25">
      <c r="D13" s="244"/>
      <c r="E13" s="244"/>
      <c r="F13" s="244"/>
      <c r="G13" s="244"/>
      <c r="H13" s="184"/>
      <c r="I13" s="97"/>
      <c r="J13" s="171"/>
      <c r="K13" s="171"/>
      <c r="L13" s="181"/>
      <c r="M13" s="55"/>
      <c r="O13" s="84"/>
      <c r="P13" s="84"/>
      <c r="Q13" s="84"/>
      <c r="R13" s="84"/>
      <c r="S13" s="84"/>
      <c r="T13" s="84"/>
    </row>
    <row r="14" spans="1:20" s="100" customFormat="1" ht="16.5" x14ac:dyDescent="0.25">
      <c r="A14" s="245" t="s">
        <v>294</v>
      </c>
      <c r="B14" s="245"/>
      <c r="C14" s="245"/>
      <c r="D14" s="245"/>
      <c r="E14" s="245"/>
      <c r="F14" s="245"/>
      <c r="G14" s="245"/>
      <c r="H14" s="245"/>
      <c r="I14" s="245"/>
      <c r="J14" s="225"/>
      <c r="K14" s="226"/>
      <c r="L14" s="226"/>
      <c r="M14" s="240"/>
      <c r="N14" s="240"/>
    </row>
    <row r="15" spans="1:20" s="100" customFormat="1" ht="16.5" x14ac:dyDescent="0.25">
      <c r="A15" s="245" t="s">
        <v>875</v>
      </c>
      <c r="B15" s="245"/>
      <c r="C15" s="245"/>
      <c r="D15" s="245"/>
      <c r="E15" s="245"/>
      <c r="F15" s="245"/>
      <c r="G15" s="245"/>
      <c r="H15" s="245"/>
      <c r="I15" s="245"/>
      <c r="J15" s="225"/>
      <c r="K15" s="227"/>
      <c r="L15" s="227"/>
      <c r="M15" s="240"/>
      <c r="N15" s="248"/>
      <c r="O15" s="248"/>
    </row>
    <row r="16" spans="1:20" ht="12" customHeight="1" x14ac:dyDescent="0.3">
      <c r="A16" s="249"/>
      <c r="B16" s="249"/>
      <c r="C16" s="249"/>
      <c r="D16" s="249"/>
      <c r="E16" s="249"/>
      <c r="F16" s="249"/>
      <c r="G16" s="249"/>
      <c r="H16" s="99"/>
      <c r="I16" s="26"/>
      <c r="J16" s="220"/>
      <c r="K16" s="220"/>
      <c r="L16" s="220"/>
      <c r="N16" s="63"/>
      <c r="O16" s="84"/>
      <c r="P16" s="84"/>
      <c r="Q16" s="84"/>
      <c r="R16" s="84"/>
      <c r="S16" s="84"/>
      <c r="T16" s="84"/>
    </row>
    <row r="17" spans="1:20" x14ac:dyDescent="0.25">
      <c r="I17" s="90" t="s">
        <v>39</v>
      </c>
      <c r="J17" s="242" t="s">
        <v>548</v>
      </c>
      <c r="K17" s="242"/>
      <c r="L17" s="242"/>
      <c r="N17" s="63"/>
      <c r="O17" s="84"/>
      <c r="P17" s="84"/>
      <c r="Q17" s="84"/>
      <c r="R17" s="84"/>
      <c r="S17" s="84"/>
      <c r="T17" s="84"/>
    </row>
    <row r="18" spans="1:20" s="2" customFormat="1" ht="36" x14ac:dyDescent="0.25">
      <c r="A18" s="10" t="s">
        <v>598</v>
      </c>
      <c r="B18" s="21" t="s">
        <v>314</v>
      </c>
      <c r="C18" s="11" t="s">
        <v>3</v>
      </c>
      <c r="D18" s="11" t="s">
        <v>1</v>
      </c>
      <c r="E18" s="11" t="s">
        <v>2</v>
      </c>
      <c r="F18" s="11" t="s">
        <v>45</v>
      </c>
      <c r="G18" s="17" t="s">
        <v>666</v>
      </c>
      <c r="H18" s="104" t="s">
        <v>687</v>
      </c>
      <c r="I18" s="104" t="s">
        <v>876</v>
      </c>
      <c r="J18" s="132">
        <f>6834193.6+50500</f>
        <v>6884693.5999999996</v>
      </c>
      <c r="K18" s="132">
        <f>6201312.8-240945.3</f>
        <v>5960367.5</v>
      </c>
      <c r="L18" s="132">
        <f>7242463.8-1113180.9</f>
        <v>6129282.9000000004</v>
      </c>
      <c r="N18" s="64"/>
      <c r="O18" s="65"/>
      <c r="P18" s="65"/>
      <c r="Q18" s="65"/>
      <c r="R18" s="192"/>
      <c r="S18" s="192"/>
      <c r="T18" s="192"/>
    </row>
    <row r="19" spans="1:20" s="3" customFormat="1" ht="18.75" x14ac:dyDescent="0.25">
      <c r="A19" s="12" t="s">
        <v>46</v>
      </c>
      <c r="B19" s="52"/>
      <c r="C19" s="44"/>
      <c r="D19" s="44"/>
      <c r="E19" s="44"/>
      <c r="F19" s="44"/>
      <c r="G19" s="122">
        <f>G20+G63+G318+G407+G469+G521+G594+G610+G836+G852+G1003+G1021</f>
        <v>6884693.6000000006</v>
      </c>
      <c r="H19" s="122">
        <f>H20+H63+H318+H407+H469+H521+H594+H610+H836+H852+H1003+H1021</f>
        <v>5960367.4999999991</v>
      </c>
      <c r="I19" s="122">
        <f>I20+I63+I318+I407+I469+I521+I594+I610+I836+I852+I1003+I1021</f>
        <v>6129282.9000000004</v>
      </c>
      <c r="J19" s="230">
        <f>G19-J18</f>
        <v>0</v>
      </c>
      <c r="K19" s="230">
        <f t="shared" ref="K19:L19" si="0">H19-K18</f>
        <v>0</v>
      </c>
      <c r="L19" s="230">
        <f t="shared" si="0"/>
        <v>0</v>
      </c>
      <c r="N19" s="65"/>
      <c r="O19" s="65"/>
      <c r="P19" s="65"/>
      <c r="Q19" s="65"/>
      <c r="R19" s="65"/>
      <c r="S19" s="65"/>
      <c r="T19" s="65"/>
    </row>
    <row r="20" spans="1:20" s="2" customFormat="1" ht="34.5" customHeight="1" x14ac:dyDescent="0.25">
      <c r="A20" s="86" t="s">
        <v>667</v>
      </c>
      <c r="B20" s="52">
        <v>901</v>
      </c>
      <c r="C20" s="44"/>
      <c r="D20" s="44"/>
      <c r="E20" s="44"/>
      <c r="F20" s="44"/>
      <c r="G20" s="116">
        <f>G21+G56</f>
        <v>73366.600000000006</v>
      </c>
      <c r="H20" s="116">
        <f>H21+H56</f>
        <v>404310.1</v>
      </c>
      <c r="I20" s="116">
        <f>I21+I56</f>
        <v>417986.6</v>
      </c>
      <c r="J20" s="172"/>
      <c r="K20" s="172"/>
      <c r="L20" s="172"/>
      <c r="M20" s="62"/>
      <c r="N20" s="65"/>
      <c r="O20" s="65"/>
      <c r="P20" s="65"/>
      <c r="Q20" s="65"/>
      <c r="R20" s="192"/>
      <c r="S20" s="192"/>
      <c r="T20" s="192"/>
    </row>
    <row r="21" spans="1:20" s="2" customFormat="1" ht="15" x14ac:dyDescent="0.25">
      <c r="A21" s="24" t="s">
        <v>304</v>
      </c>
      <c r="B21" s="53">
        <v>901</v>
      </c>
      <c r="C21" s="48" t="s">
        <v>26</v>
      </c>
      <c r="D21" s="48"/>
      <c r="E21" s="48"/>
      <c r="F21" s="48"/>
      <c r="G21" s="119">
        <f>G22+G37+G42</f>
        <v>62481.600000000006</v>
      </c>
      <c r="H21" s="119">
        <f t="shared" ref="H21:I21" si="1">H22+H37+H42</f>
        <v>297567.8</v>
      </c>
      <c r="I21" s="119">
        <f t="shared" si="1"/>
        <v>247704.6</v>
      </c>
      <c r="J21" s="173"/>
      <c r="K21" s="173"/>
      <c r="L21" s="173"/>
      <c r="M21" s="62"/>
      <c r="N21" s="65"/>
      <c r="O21" s="65"/>
      <c r="P21" s="65"/>
      <c r="Q21" s="65"/>
      <c r="R21" s="65"/>
      <c r="S21" s="65"/>
      <c r="T21" s="65"/>
    </row>
    <row r="22" spans="1:20" s="2" customFormat="1" ht="25.5" x14ac:dyDescent="0.25">
      <c r="A22" s="24" t="s">
        <v>158</v>
      </c>
      <c r="B22" s="53">
        <v>901</v>
      </c>
      <c r="C22" s="48" t="s">
        <v>26</v>
      </c>
      <c r="D22" s="48" t="s">
        <v>35</v>
      </c>
      <c r="E22" s="48"/>
      <c r="F22" s="48"/>
      <c r="G22" s="119">
        <f>G23+G27+G34</f>
        <v>27628.699999999997</v>
      </c>
      <c r="H22" s="119">
        <f t="shared" ref="H22:I22" si="2">H23+H27+H34</f>
        <v>28362.7</v>
      </c>
      <c r="I22" s="119">
        <f t="shared" si="2"/>
        <v>29427</v>
      </c>
      <c r="J22" s="173"/>
      <c r="K22" s="173"/>
      <c r="L22" s="173"/>
      <c r="M22" s="62"/>
      <c r="N22" s="65"/>
      <c r="O22" s="65"/>
      <c r="P22" s="65"/>
      <c r="Q22" s="65"/>
      <c r="R22" s="193"/>
      <c r="S22" s="193"/>
      <c r="T22" s="193"/>
    </row>
    <row r="23" spans="1:20" s="2" customFormat="1" ht="25.5" x14ac:dyDescent="0.25">
      <c r="A23" s="23" t="s">
        <v>546</v>
      </c>
      <c r="B23" s="53">
        <v>901</v>
      </c>
      <c r="C23" s="48" t="s">
        <v>26</v>
      </c>
      <c r="D23" s="48" t="s">
        <v>35</v>
      </c>
      <c r="E23" s="48" t="s">
        <v>143</v>
      </c>
      <c r="F23" s="48"/>
      <c r="G23" s="119">
        <f>G24</f>
        <v>177.6</v>
      </c>
      <c r="H23" s="119">
        <f t="shared" ref="H23:I23" si="3">H24</f>
        <v>0</v>
      </c>
      <c r="I23" s="119">
        <f t="shared" si="3"/>
        <v>0</v>
      </c>
      <c r="J23" s="173"/>
      <c r="K23" s="173"/>
      <c r="L23" s="173"/>
      <c r="M23" s="62"/>
      <c r="N23" s="65"/>
      <c r="O23" s="65"/>
      <c r="P23" s="65"/>
      <c r="Q23" s="65"/>
      <c r="R23" s="65"/>
      <c r="S23" s="65"/>
      <c r="T23" s="65"/>
    </row>
    <row r="24" spans="1:20" s="2" customFormat="1" ht="38.25" x14ac:dyDescent="0.25">
      <c r="A24" s="23" t="s">
        <v>809</v>
      </c>
      <c r="B24" s="53">
        <v>901</v>
      </c>
      <c r="C24" s="48" t="s">
        <v>26</v>
      </c>
      <c r="D24" s="48" t="s">
        <v>35</v>
      </c>
      <c r="E24" s="48" t="s">
        <v>144</v>
      </c>
      <c r="F24" s="48"/>
      <c r="G24" s="119">
        <f>G25</f>
        <v>177.6</v>
      </c>
      <c r="H24" s="119">
        <f t="shared" ref="H24:I25" si="4">H25</f>
        <v>0</v>
      </c>
      <c r="I24" s="119">
        <f t="shared" si="4"/>
        <v>0</v>
      </c>
      <c r="J24" s="173"/>
      <c r="K24" s="173"/>
      <c r="L24" s="173"/>
      <c r="M24" s="62"/>
      <c r="N24" s="65"/>
      <c r="O24" s="65"/>
      <c r="P24" s="65"/>
      <c r="Q24" s="193"/>
      <c r="R24" s="193"/>
      <c r="S24" s="193"/>
      <c r="T24" s="193"/>
    </row>
    <row r="25" spans="1:20" s="2" customFormat="1" ht="25.5" x14ac:dyDescent="0.25">
      <c r="A25" s="24" t="s">
        <v>718</v>
      </c>
      <c r="B25" s="53">
        <v>901</v>
      </c>
      <c r="C25" s="48" t="s">
        <v>26</v>
      </c>
      <c r="D25" s="48" t="s">
        <v>35</v>
      </c>
      <c r="E25" s="48" t="s">
        <v>717</v>
      </c>
      <c r="F25" s="48"/>
      <c r="G25" s="119">
        <f>G26</f>
        <v>177.6</v>
      </c>
      <c r="H25" s="119">
        <f t="shared" si="4"/>
        <v>0</v>
      </c>
      <c r="I25" s="119">
        <f t="shared" si="4"/>
        <v>0</v>
      </c>
      <c r="J25" s="173"/>
      <c r="K25" s="173"/>
      <c r="L25" s="173"/>
      <c r="M25" s="62"/>
      <c r="N25" s="65"/>
      <c r="O25" s="65"/>
      <c r="P25" s="65"/>
      <c r="Q25" s="193"/>
      <c r="R25" s="193"/>
      <c r="S25" s="193"/>
      <c r="T25" s="193"/>
    </row>
    <row r="26" spans="1:20" s="2" customFormat="1" ht="25.5" x14ac:dyDescent="0.25">
      <c r="A26" s="24" t="s">
        <v>226</v>
      </c>
      <c r="B26" s="53">
        <v>901</v>
      </c>
      <c r="C26" s="48" t="s">
        <v>26</v>
      </c>
      <c r="D26" s="48" t="s">
        <v>35</v>
      </c>
      <c r="E26" s="48" t="s">
        <v>717</v>
      </c>
      <c r="F26" s="48" t="s">
        <v>59</v>
      </c>
      <c r="G26" s="119">
        <v>177.6</v>
      </c>
      <c r="H26" s="119">
        <v>0</v>
      </c>
      <c r="I26" s="119">
        <v>0</v>
      </c>
      <c r="J26" s="173"/>
      <c r="K26" s="173"/>
      <c r="L26" s="173"/>
      <c r="M26" s="62"/>
      <c r="N26" s="65"/>
      <c r="O26" s="65"/>
      <c r="P26" s="65"/>
      <c r="Q26" s="65"/>
      <c r="R26" s="65"/>
      <c r="S26" s="65"/>
      <c r="T26" s="65"/>
    </row>
    <row r="27" spans="1:20" s="2" customFormat="1" ht="16.5" customHeight="1" x14ac:dyDescent="0.25">
      <c r="A27" s="24" t="s">
        <v>378</v>
      </c>
      <c r="B27" s="53">
        <v>901</v>
      </c>
      <c r="C27" s="48" t="s">
        <v>26</v>
      </c>
      <c r="D27" s="48" t="s">
        <v>35</v>
      </c>
      <c r="E27" s="48" t="s">
        <v>194</v>
      </c>
      <c r="F27" s="48"/>
      <c r="G27" s="119">
        <f>G28</f>
        <v>27362.399999999998</v>
      </c>
      <c r="H27" s="119">
        <f t="shared" ref="G27:I29" si="5">H28</f>
        <v>28274</v>
      </c>
      <c r="I27" s="119">
        <f t="shared" si="5"/>
        <v>29338.3</v>
      </c>
      <c r="J27" s="134"/>
      <c r="K27" s="134"/>
      <c r="L27" s="134"/>
      <c r="M27" s="65"/>
      <c r="N27" s="65"/>
      <c r="O27" s="65"/>
      <c r="P27" s="65"/>
      <c r="Q27" s="65"/>
      <c r="R27" s="65"/>
      <c r="S27" s="65"/>
      <c r="T27" s="65"/>
    </row>
    <row r="28" spans="1:20" s="2" customFormat="1" ht="38.25" x14ac:dyDescent="0.25">
      <c r="A28" s="24" t="s">
        <v>730</v>
      </c>
      <c r="B28" s="53">
        <v>901</v>
      </c>
      <c r="C28" s="48" t="s">
        <v>26</v>
      </c>
      <c r="D28" s="48" t="s">
        <v>35</v>
      </c>
      <c r="E28" s="48" t="s">
        <v>628</v>
      </c>
      <c r="F28" s="48"/>
      <c r="G28" s="119">
        <f>G29</f>
        <v>27362.399999999998</v>
      </c>
      <c r="H28" s="119">
        <f t="shared" si="5"/>
        <v>28274</v>
      </c>
      <c r="I28" s="119">
        <f t="shared" si="5"/>
        <v>29338.3</v>
      </c>
      <c r="J28" s="186"/>
      <c r="K28" s="186"/>
      <c r="L28" s="186"/>
      <c r="M28" s="65"/>
      <c r="N28" s="65"/>
      <c r="O28" s="65"/>
      <c r="P28" s="65"/>
      <c r="Q28" s="65"/>
      <c r="R28" s="65"/>
      <c r="S28" s="65"/>
      <c r="T28" s="65"/>
    </row>
    <row r="29" spans="1:20" s="2" customFormat="1" ht="29.25" customHeight="1" x14ac:dyDescent="0.25">
      <c r="A29" s="24" t="s">
        <v>731</v>
      </c>
      <c r="B29" s="53">
        <v>901</v>
      </c>
      <c r="C29" s="48" t="s">
        <v>26</v>
      </c>
      <c r="D29" s="48" t="s">
        <v>35</v>
      </c>
      <c r="E29" s="48" t="s">
        <v>629</v>
      </c>
      <c r="F29" s="48"/>
      <c r="G29" s="119">
        <f t="shared" si="5"/>
        <v>27362.399999999998</v>
      </c>
      <c r="H29" s="119">
        <f t="shared" si="5"/>
        <v>28274</v>
      </c>
      <c r="I29" s="119">
        <f t="shared" si="5"/>
        <v>29338.3</v>
      </c>
      <c r="J29" s="186"/>
      <c r="K29" s="186"/>
      <c r="L29" s="186"/>
      <c r="M29" s="65"/>
      <c r="N29" s="65"/>
      <c r="O29" s="65"/>
      <c r="P29" s="65"/>
      <c r="Q29" s="65"/>
      <c r="R29" s="65"/>
      <c r="S29" s="65"/>
      <c r="T29" s="65"/>
    </row>
    <row r="30" spans="1:20" s="2" customFormat="1" ht="16.5" customHeight="1" x14ac:dyDescent="0.25">
      <c r="A30" s="24" t="s">
        <v>138</v>
      </c>
      <c r="B30" s="53">
        <v>901</v>
      </c>
      <c r="C30" s="48" t="s">
        <v>26</v>
      </c>
      <c r="D30" s="48" t="s">
        <v>35</v>
      </c>
      <c r="E30" s="48" t="s">
        <v>647</v>
      </c>
      <c r="F30" s="48"/>
      <c r="G30" s="119">
        <f>G31+G32+G33</f>
        <v>27362.399999999998</v>
      </c>
      <c r="H30" s="119">
        <f t="shared" ref="H30:I30" si="6">H31+H32+H33</f>
        <v>28274</v>
      </c>
      <c r="I30" s="119">
        <f t="shared" si="6"/>
        <v>29338.3</v>
      </c>
      <c r="J30" s="186"/>
      <c r="K30" s="186"/>
      <c r="L30" s="186"/>
      <c r="M30" s="65"/>
      <c r="N30" s="65"/>
      <c r="O30" s="65"/>
      <c r="P30" s="65"/>
      <c r="Q30" s="65"/>
      <c r="R30" s="65"/>
      <c r="S30" s="65"/>
      <c r="T30" s="65"/>
    </row>
    <row r="31" spans="1:20" s="2" customFormat="1" ht="41.25" customHeight="1" x14ac:dyDescent="0.25">
      <c r="A31" s="24" t="s">
        <v>225</v>
      </c>
      <c r="B31" s="53">
        <v>901</v>
      </c>
      <c r="C31" s="48" t="s">
        <v>26</v>
      </c>
      <c r="D31" s="48" t="s">
        <v>35</v>
      </c>
      <c r="E31" s="48" t="s">
        <v>647</v>
      </c>
      <c r="F31" s="48" t="s">
        <v>66</v>
      </c>
      <c r="G31" s="119">
        <v>26047.3</v>
      </c>
      <c r="H31" s="119">
        <v>27087.1</v>
      </c>
      <c r="I31" s="119">
        <v>28169</v>
      </c>
      <c r="J31" s="186"/>
      <c r="K31" s="186"/>
      <c r="L31" s="186"/>
      <c r="M31" s="65"/>
      <c r="N31" s="65"/>
      <c r="O31" s="65"/>
      <c r="P31" s="65"/>
      <c r="Q31" s="65"/>
      <c r="R31" s="65"/>
      <c r="S31" s="65"/>
      <c r="T31" s="65"/>
    </row>
    <row r="32" spans="1:20" s="2" customFormat="1" ht="32.25" customHeight="1" x14ac:dyDescent="0.25">
      <c r="A32" s="24" t="s">
        <v>226</v>
      </c>
      <c r="B32" s="53">
        <v>901</v>
      </c>
      <c r="C32" s="48" t="s">
        <v>26</v>
      </c>
      <c r="D32" s="48" t="s">
        <v>35</v>
      </c>
      <c r="E32" s="48" t="s">
        <v>647</v>
      </c>
      <c r="F32" s="48" t="s">
        <v>59</v>
      </c>
      <c r="G32" s="119">
        <f>1265.1-20</f>
        <v>1245.0999999999999</v>
      </c>
      <c r="H32" s="119">
        <v>1136.9000000000001</v>
      </c>
      <c r="I32" s="119">
        <v>1119.3</v>
      </c>
      <c r="J32" s="186"/>
      <c r="K32" s="186"/>
      <c r="L32" s="186"/>
      <c r="M32" s="65"/>
      <c r="N32" s="65"/>
      <c r="O32" s="65"/>
      <c r="P32" s="65"/>
      <c r="Q32" s="65"/>
      <c r="R32" s="65"/>
      <c r="S32" s="65"/>
      <c r="T32" s="65"/>
    </row>
    <row r="33" spans="1:20" s="2" customFormat="1" ht="14.25" x14ac:dyDescent="0.25">
      <c r="A33" s="24" t="s">
        <v>95</v>
      </c>
      <c r="B33" s="53">
        <v>901</v>
      </c>
      <c r="C33" s="48" t="s">
        <v>26</v>
      </c>
      <c r="D33" s="48" t="s">
        <v>35</v>
      </c>
      <c r="E33" s="48" t="s">
        <v>647</v>
      </c>
      <c r="F33" s="48" t="s">
        <v>62</v>
      </c>
      <c r="G33" s="119">
        <f>50+20</f>
        <v>70</v>
      </c>
      <c r="H33" s="119">
        <v>50</v>
      </c>
      <c r="I33" s="119">
        <v>50</v>
      </c>
      <c r="J33" s="186"/>
      <c r="K33" s="186"/>
      <c r="L33" s="186"/>
      <c r="M33" s="65"/>
      <c r="N33" s="65"/>
      <c r="O33" s="65"/>
      <c r="P33" s="65"/>
      <c r="Q33" s="65"/>
      <c r="R33" s="65"/>
      <c r="S33" s="65"/>
      <c r="T33" s="65"/>
    </row>
    <row r="34" spans="1:20" s="2" customFormat="1" ht="14.25" x14ac:dyDescent="0.25">
      <c r="A34" s="24" t="s">
        <v>94</v>
      </c>
      <c r="B34" s="53">
        <v>901</v>
      </c>
      <c r="C34" s="48" t="s">
        <v>26</v>
      </c>
      <c r="D34" s="48" t="s">
        <v>35</v>
      </c>
      <c r="E34" s="48" t="s">
        <v>120</v>
      </c>
      <c r="F34" s="48"/>
      <c r="G34" s="119">
        <f>G35</f>
        <v>88.7</v>
      </c>
      <c r="H34" s="119">
        <f t="shared" ref="H34:I34" si="7">H35</f>
        <v>88.7</v>
      </c>
      <c r="I34" s="119">
        <f t="shared" si="7"/>
        <v>88.7</v>
      </c>
      <c r="J34" s="186"/>
      <c r="K34" s="186"/>
      <c r="L34" s="186"/>
      <c r="M34" s="65"/>
      <c r="N34" s="65"/>
      <c r="O34" s="65"/>
      <c r="P34" s="65"/>
      <c r="Q34" s="65"/>
      <c r="R34" s="65"/>
      <c r="S34" s="65"/>
      <c r="T34" s="65"/>
    </row>
    <row r="35" spans="1:20" s="2" customFormat="1" ht="14.25" x14ac:dyDescent="0.25">
      <c r="A35" s="24" t="s">
        <v>379</v>
      </c>
      <c r="B35" s="53">
        <v>901</v>
      </c>
      <c r="C35" s="48" t="s">
        <v>26</v>
      </c>
      <c r="D35" s="48" t="s">
        <v>35</v>
      </c>
      <c r="E35" s="48" t="s">
        <v>380</v>
      </c>
      <c r="F35" s="48"/>
      <c r="G35" s="119">
        <f>G36</f>
        <v>88.7</v>
      </c>
      <c r="H35" s="119">
        <f t="shared" ref="H35" si="8">H36</f>
        <v>88.7</v>
      </c>
      <c r="I35" s="119">
        <f t="shared" ref="I35" si="9">I36</f>
        <v>88.7</v>
      </c>
      <c r="J35" s="186"/>
      <c r="K35" s="186"/>
      <c r="L35" s="186"/>
      <c r="M35" s="65"/>
      <c r="N35" s="65"/>
      <c r="O35" s="65"/>
      <c r="P35" s="65"/>
      <c r="Q35" s="65"/>
      <c r="R35" s="65"/>
      <c r="S35" s="65"/>
      <c r="T35" s="65"/>
    </row>
    <row r="36" spans="1:20" s="2" customFormat="1" ht="25.5" x14ac:dyDescent="0.25">
      <c r="A36" s="24" t="s">
        <v>226</v>
      </c>
      <c r="B36" s="53">
        <v>901</v>
      </c>
      <c r="C36" s="48" t="s">
        <v>26</v>
      </c>
      <c r="D36" s="48" t="s">
        <v>35</v>
      </c>
      <c r="E36" s="48" t="s">
        <v>380</v>
      </c>
      <c r="F36" s="48" t="s">
        <v>59</v>
      </c>
      <c r="G36" s="119">
        <v>88.7</v>
      </c>
      <c r="H36" s="119">
        <v>88.7</v>
      </c>
      <c r="I36" s="119">
        <v>88.7</v>
      </c>
      <c r="J36" s="186"/>
      <c r="K36" s="186"/>
      <c r="L36" s="186"/>
      <c r="M36" s="65"/>
      <c r="N36" s="65"/>
      <c r="O36" s="65"/>
      <c r="P36" s="65"/>
      <c r="Q36" s="65"/>
      <c r="R36" s="65"/>
      <c r="S36" s="65"/>
      <c r="T36" s="65"/>
    </row>
    <row r="37" spans="1:20" s="2" customFormat="1" ht="14.25" x14ac:dyDescent="0.25">
      <c r="A37" s="24" t="s">
        <v>195</v>
      </c>
      <c r="B37" s="53">
        <v>901</v>
      </c>
      <c r="C37" s="48" t="s">
        <v>26</v>
      </c>
      <c r="D37" s="48" t="s">
        <v>32</v>
      </c>
      <c r="E37" s="48"/>
      <c r="F37" s="48"/>
      <c r="G37" s="119">
        <f t="shared" ref="G37:I40" si="10">G38</f>
        <v>10302.799999999999</v>
      </c>
      <c r="H37" s="119">
        <f t="shared" si="10"/>
        <v>25000</v>
      </c>
      <c r="I37" s="119">
        <f t="shared" si="10"/>
        <v>25000</v>
      </c>
      <c r="J37" s="186"/>
      <c r="K37" s="186"/>
      <c r="L37" s="186"/>
      <c r="M37" s="65"/>
      <c r="N37" s="65"/>
      <c r="O37" s="65"/>
      <c r="P37" s="65"/>
      <c r="Q37" s="65"/>
      <c r="R37" s="65"/>
      <c r="S37" s="65"/>
      <c r="T37" s="65"/>
    </row>
    <row r="38" spans="1:20" s="2" customFormat="1" ht="14.25" x14ac:dyDescent="0.25">
      <c r="A38" s="24" t="s">
        <v>196</v>
      </c>
      <c r="B38" s="53">
        <v>901</v>
      </c>
      <c r="C38" s="48" t="s">
        <v>26</v>
      </c>
      <c r="D38" s="48" t="s">
        <v>32</v>
      </c>
      <c r="E38" s="48" t="s">
        <v>197</v>
      </c>
      <c r="F38" s="48"/>
      <c r="G38" s="119">
        <f t="shared" si="10"/>
        <v>10302.799999999999</v>
      </c>
      <c r="H38" s="119">
        <f t="shared" si="10"/>
        <v>25000</v>
      </c>
      <c r="I38" s="119">
        <f t="shared" si="10"/>
        <v>25000</v>
      </c>
      <c r="J38" s="186"/>
      <c r="K38" s="186"/>
      <c r="L38" s="186"/>
      <c r="M38" s="65"/>
      <c r="N38" s="65"/>
      <c r="O38" s="65"/>
      <c r="P38" s="65"/>
      <c r="Q38" s="65"/>
      <c r="R38" s="65"/>
      <c r="S38" s="65"/>
      <c r="T38" s="65"/>
    </row>
    <row r="39" spans="1:20" s="2" customFormat="1" ht="14.25" x14ac:dyDescent="0.25">
      <c r="A39" s="24" t="s">
        <v>198</v>
      </c>
      <c r="B39" s="53">
        <v>901</v>
      </c>
      <c r="C39" s="48" t="s">
        <v>26</v>
      </c>
      <c r="D39" s="48" t="s">
        <v>32</v>
      </c>
      <c r="E39" s="48" t="s">
        <v>199</v>
      </c>
      <c r="F39" s="48"/>
      <c r="G39" s="119">
        <f t="shared" si="10"/>
        <v>10302.799999999999</v>
      </c>
      <c r="H39" s="119">
        <f t="shared" si="10"/>
        <v>25000</v>
      </c>
      <c r="I39" s="119">
        <f t="shared" si="10"/>
        <v>25000</v>
      </c>
      <c r="J39" s="186"/>
      <c r="K39" s="186"/>
      <c r="L39" s="186"/>
      <c r="M39" s="65"/>
      <c r="N39" s="65"/>
      <c r="O39" s="65"/>
      <c r="P39" s="65"/>
      <c r="Q39" s="65"/>
      <c r="R39" s="65"/>
      <c r="S39" s="65"/>
      <c r="T39" s="65"/>
    </row>
    <row r="40" spans="1:20" s="2" customFormat="1" ht="14.25" x14ac:dyDescent="0.25">
      <c r="A40" s="24" t="s">
        <v>200</v>
      </c>
      <c r="B40" s="53">
        <v>901</v>
      </c>
      <c r="C40" s="48" t="s">
        <v>26</v>
      </c>
      <c r="D40" s="48" t="s">
        <v>32</v>
      </c>
      <c r="E40" s="48" t="s">
        <v>236</v>
      </c>
      <c r="F40" s="48"/>
      <c r="G40" s="119">
        <f t="shared" si="10"/>
        <v>10302.799999999999</v>
      </c>
      <c r="H40" s="119">
        <f t="shared" si="10"/>
        <v>25000</v>
      </c>
      <c r="I40" s="119">
        <f t="shared" si="10"/>
        <v>25000</v>
      </c>
      <c r="J40" s="186"/>
      <c r="K40" s="186"/>
      <c r="L40" s="186"/>
      <c r="M40" s="65"/>
      <c r="N40" s="65"/>
      <c r="O40" s="65"/>
      <c r="P40" s="65"/>
      <c r="Q40" s="65"/>
      <c r="R40" s="65"/>
      <c r="S40" s="65"/>
      <c r="T40" s="65"/>
    </row>
    <row r="41" spans="1:20" s="2" customFormat="1" ht="14.25" x14ac:dyDescent="0.25">
      <c r="A41" s="24" t="s">
        <v>95</v>
      </c>
      <c r="B41" s="53">
        <v>901</v>
      </c>
      <c r="C41" s="48" t="s">
        <v>26</v>
      </c>
      <c r="D41" s="48" t="s">
        <v>32</v>
      </c>
      <c r="E41" s="48" t="s">
        <v>236</v>
      </c>
      <c r="F41" s="48" t="s">
        <v>62</v>
      </c>
      <c r="G41" s="119">
        <f>25000-9202.2-342.6-5152.4</f>
        <v>10302.799999999999</v>
      </c>
      <c r="H41" s="119">
        <v>25000</v>
      </c>
      <c r="I41" s="119">
        <v>25000</v>
      </c>
      <c r="J41" s="186"/>
      <c r="K41" s="186"/>
      <c r="L41" s="186"/>
      <c r="M41" s="65"/>
      <c r="N41" s="65"/>
      <c r="O41" s="65"/>
      <c r="P41" s="65"/>
      <c r="Q41" s="65"/>
      <c r="R41" s="65"/>
      <c r="S41" s="65"/>
      <c r="T41" s="65"/>
    </row>
    <row r="42" spans="1:20" s="2" customFormat="1" ht="14.25" x14ac:dyDescent="0.25">
      <c r="A42" s="24" t="s">
        <v>40</v>
      </c>
      <c r="B42" s="53">
        <v>901</v>
      </c>
      <c r="C42" s="48" t="s">
        <v>26</v>
      </c>
      <c r="D42" s="48" t="s">
        <v>48</v>
      </c>
      <c r="E42" s="48"/>
      <c r="F42" s="48"/>
      <c r="G42" s="119">
        <f>G43+G47</f>
        <v>24550.100000000002</v>
      </c>
      <c r="H42" s="119">
        <f t="shared" ref="H42:I42" si="11">H43+H47</f>
        <v>244205.1</v>
      </c>
      <c r="I42" s="119">
        <f t="shared" si="11"/>
        <v>193277.6</v>
      </c>
      <c r="J42" s="186"/>
      <c r="K42" s="186"/>
      <c r="L42" s="186"/>
      <c r="M42" s="65"/>
      <c r="N42" s="65"/>
      <c r="O42" s="65"/>
      <c r="P42" s="65"/>
      <c r="Q42" s="65"/>
      <c r="R42" s="65"/>
      <c r="S42" s="65"/>
      <c r="T42" s="65"/>
    </row>
    <row r="43" spans="1:20" s="2" customFormat="1" ht="18" customHeight="1" x14ac:dyDescent="0.25">
      <c r="A43" s="24" t="s">
        <v>321</v>
      </c>
      <c r="B43" s="53">
        <v>901</v>
      </c>
      <c r="C43" s="48" t="s">
        <v>26</v>
      </c>
      <c r="D43" s="48" t="s">
        <v>48</v>
      </c>
      <c r="E43" s="48" t="s">
        <v>322</v>
      </c>
      <c r="F43" s="48"/>
      <c r="G43" s="119">
        <f>G44</f>
        <v>13784.3</v>
      </c>
      <c r="H43" s="119">
        <f t="shared" ref="H43:I43" si="12">H44</f>
        <v>14114.4</v>
      </c>
      <c r="I43" s="119">
        <f t="shared" si="12"/>
        <v>14602.4</v>
      </c>
      <c r="J43" s="186"/>
      <c r="K43" s="186"/>
      <c r="L43" s="186"/>
      <c r="M43" s="65"/>
      <c r="N43" s="65"/>
      <c r="O43" s="65"/>
      <c r="P43" s="65"/>
      <c r="Q43" s="65"/>
      <c r="R43" s="65"/>
      <c r="S43" s="65"/>
      <c r="T43" s="65"/>
    </row>
    <row r="44" spans="1:20" s="2" customFormat="1" ht="25.5" x14ac:dyDescent="0.25">
      <c r="A44" s="24" t="s">
        <v>239</v>
      </c>
      <c r="B44" s="53">
        <v>901</v>
      </c>
      <c r="C44" s="48" t="s">
        <v>26</v>
      </c>
      <c r="D44" s="48" t="s">
        <v>48</v>
      </c>
      <c r="E44" s="48" t="s">
        <v>723</v>
      </c>
      <c r="F44" s="48"/>
      <c r="G44" s="119">
        <f>SUM(G45:G46)</f>
        <v>13784.3</v>
      </c>
      <c r="H44" s="119">
        <f>SUM(H45:H46)</f>
        <v>14114.4</v>
      </c>
      <c r="I44" s="119">
        <f>SUM(I45:I46)</f>
        <v>14602.4</v>
      </c>
      <c r="J44" s="186"/>
      <c r="K44" s="186"/>
      <c r="L44" s="186"/>
      <c r="M44" s="65"/>
      <c r="N44" s="65"/>
      <c r="O44" s="65"/>
      <c r="P44" s="65"/>
      <c r="Q44" s="65"/>
      <c r="R44" s="65"/>
      <c r="S44" s="65"/>
      <c r="T44" s="65"/>
    </row>
    <row r="45" spans="1:20" s="2" customFormat="1" ht="38.25" x14ac:dyDescent="0.25">
      <c r="A45" s="24" t="s">
        <v>225</v>
      </c>
      <c r="B45" s="53">
        <v>901</v>
      </c>
      <c r="C45" s="48" t="s">
        <v>26</v>
      </c>
      <c r="D45" s="48" t="s">
        <v>48</v>
      </c>
      <c r="E45" s="48" t="s">
        <v>723</v>
      </c>
      <c r="F45" s="48" t="s">
        <v>66</v>
      </c>
      <c r="G45" s="119">
        <v>11728.3</v>
      </c>
      <c r="H45" s="119">
        <v>12197.4</v>
      </c>
      <c r="I45" s="119">
        <v>12685.4</v>
      </c>
      <c r="J45" s="186"/>
      <c r="K45" s="65"/>
      <c r="L45" s="186"/>
      <c r="M45" s="65"/>
      <c r="N45" s="65"/>
      <c r="O45" s="65"/>
      <c r="P45" s="65"/>
      <c r="Q45" s="65"/>
      <c r="R45" s="65"/>
      <c r="S45" s="65"/>
      <c r="T45" s="65"/>
    </row>
    <row r="46" spans="1:20" s="2" customFormat="1" ht="25.5" x14ac:dyDescent="0.25">
      <c r="A46" s="24" t="s">
        <v>226</v>
      </c>
      <c r="B46" s="53">
        <v>901</v>
      </c>
      <c r="C46" s="48" t="s">
        <v>26</v>
      </c>
      <c r="D46" s="48" t="s">
        <v>48</v>
      </c>
      <c r="E46" s="48" t="s">
        <v>723</v>
      </c>
      <c r="F46" s="48" t="s">
        <v>59</v>
      </c>
      <c r="G46" s="119">
        <v>2056</v>
      </c>
      <c r="H46" s="119">
        <v>1917</v>
      </c>
      <c r="I46" s="119">
        <v>1917</v>
      </c>
      <c r="J46" s="186"/>
      <c r="K46" s="65"/>
      <c r="L46" s="186"/>
      <c r="M46" s="65"/>
      <c r="N46" s="65"/>
      <c r="O46" s="65"/>
      <c r="P46" s="65"/>
      <c r="Q46" s="65"/>
      <c r="R46" s="65"/>
      <c r="S46" s="65"/>
      <c r="T46" s="65"/>
    </row>
    <row r="47" spans="1:20" s="2" customFormat="1" ht="14.25" x14ac:dyDescent="0.25">
      <c r="A47" s="24" t="s">
        <v>94</v>
      </c>
      <c r="B47" s="53">
        <v>901</v>
      </c>
      <c r="C47" s="48" t="s">
        <v>26</v>
      </c>
      <c r="D47" s="48" t="s">
        <v>48</v>
      </c>
      <c r="E47" s="48" t="s">
        <v>120</v>
      </c>
      <c r="F47" s="48"/>
      <c r="G47" s="119">
        <f>G48+G50+G52+G54</f>
        <v>10765.800000000003</v>
      </c>
      <c r="H47" s="119">
        <f t="shared" ref="H47:I47" si="13">H48+H50+H52+H54</f>
        <v>230090.7</v>
      </c>
      <c r="I47" s="119">
        <f t="shared" si="13"/>
        <v>178675.20000000001</v>
      </c>
      <c r="J47" s="186"/>
      <c r="K47" s="186"/>
      <c r="L47" s="186"/>
      <c r="M47" s="65"/>
      <c r="N47" s="65"/>
      <c r="O47" s="65"/>
      <c r="P47" s="65"/>
      <c r="Q47" s="65"/>
      <c r="R47" s="65"/>
      <c r="S47" s="65"/>
      <c r="T47" s="65"/>
    </row>
    <row r="48" spans="1:20" s="2" customFormat="1" ht="17.25" customHeight="1" x14ac:dyDescent="0.25">
      <c r="A48" s="28" t="s">
        <v>615</v>
      </c>
      <c r="B48" s="53">
        <v>901</v>
      </c>
      <c r="C48" s="48" t="s">
        <v>26</v>
      </c>
      <c r="D48" s="48" t="s">
        <v>48</v>
      </c>
      <c r="E48" s="48" t="s">
        <v>230</v>
      </c>
      <c r="F48" s="48"/>
      <c r="G48" s="119">
        <f>G49</f>
        <v>1998.7</v>
      </c>
      <c r="H48" s="119">
        <f>H49</f>
        <v>1500</v>
      </c>
      <c r="I48" s="119">
        <f>I49</f>
        <v>1500</v>
      </c>
      <c r="J48" s="186"/>
      <c r="K48" s="186"/>
      <c r="L48" s="186"/>
      <c r="M48" s="65"/>
      <c r="N48" s="65"/>
      <c r="O48" s="65"/>
      <c r="P48" s="65"/>
      <c r="Q48" s="65"/>
      <c r="R48" s="65"/>
      <c r="S48" s="65"/>
      <c r="T48" s="65"/>
    </row>
    <row r="49" spans="1:20" s="2" customFormat="1" ht="14.25" x14ac:dyDescent="0.25">
      <c r="A49" s="24" t="s">
        <v>95</v>
      </c>
      <c r="B49" s="53">
        <v>901</v>
      </c>
      <c r="C49" s="48" t="s">
        <v>26</v>
      </c>
      <c r="D49" s="48" t="s">
        <v>48</v>
      </c>
      <c r="E49" s="48" t="s">
        <v>230</v>
      </c>
      <c r="F49" s="48" t="s">
        <v>62</v>
      </c>
      <c r="G49" s="119">
        <f>1500-501.3+1000</f>
        <v>1998.7</v>
      </c>
      <c r="H49" s="119">
        <v>1500</v>
      </c>
      <c r="I49" s="119">
        <v>1500</v>
      </c>
      <c r="J49" s="186">
        <v>1000</v>
      </c>
      <c r="K49" s="186"/>
      <c r="L49" s="186"/>
      <c r="M49" s="65"/>
      <c r="N49" s="65"/>
      <c r="O49" s="65"/>
      <c r="P49" s="65"/>
      <c r="Q49" s="65"/>
      <c r="R49" s="65"/>
      <c r="S49" s="65"/>
      <c r="T49" s="65"/>
    </row>
    <row r="50" spans="1:20" s="2" customFormat="1" ht="14.25" x14ac:dyDescent="0.25">
      <c r="A50" s="24" t="s">
        <v>377</v>
      </c>
      <c r="B50" s="53">
        <v>901</v>
      </c>
      <c r="C50" s="48" t="s">
        <v>26</v>
      </c>
      <c r="D50" s="48" t="s">
        <v>48</v>
      </c>
      <c r="E50" s="48" t="s">
        <v>376</v>
      </c>
      <c r="F50" s="48"/>
      <c r="G50" s="119">
        <f>G51</f>
        <v>0</v>
      </c>
      <c r="H50" s="119">
        <f t="shared" ref="H50:I50" si="14">H51</f>
        <v>1500</v>
      </c>
      <c r="I50" s="119">
        <f t="shared" si="14"/>
        <v>1500</v>
      </c>
      <c r="J50" s="186"/>
      <c r="K50" s="186"/>
      <c r="L50" s="186"/>
      <c r="M50" s="65"/>
      <c r="N50" s="65"/>
      <c r="O50" s="65"/>
      <c r="P50" s="65"/>
      <c r="Q50" s="65"/>
      <c r="R50" s="65"/>
      <c r="S50" s="65"/>
      <c r="T50" s="65"/>
    </row>
    <row r="51" spans="1:20" s="2" customFormat="1" ht="14.25" x14ac:dyDescent="0.25">
      <c r="A51" s="24" t="s">
        <v>95</v>
      </c>
      <c r="B51" s="53">
        <v>901</v>
      </c>
      <c r="C51" s="48" t="s">
        <v>26</v>
      </c>
      <c r="D51" s="48" t="s">
        <v>48</v>
      </c>
      <c r="E51" s="48" t="s">
        <v>376</v>
      </c>
      <c r="F51" s="48" t="s">
        <v>62</v>
      </c>
      <c r="G51" s="119">
        <f>1500-1500</f>
        <v>0</v>
      </c>
      <c r="H51" s="119">
        <v>1500</v>
      </c>
      <c r="I51" s="119">
        <v>1500</v>
      </c>
      <c r="J51" s="186">
        <v>-1500</v>
      </c>
      <c r="K51" s="186"/>
      <c r="L51" s="186"/>
      <c r="M51" s="65"/>
      <c r="N51" s="65"/>
      <c r="O51" s="65"/>
      <c r="P51" s="65"/>
      <c r="Q51" s="65"/>
      <c r="R51" s="65"/>
      <c r="S51" s="65"/>
      <c r="T51" s="65"/>
    </row>
    <row r="52" spans="1:20" s="2" customFormat="1" ht="14.25" x14ac:dyDescent="0.25">
      <c r="A52" s="24" t="s">
        <v>382</v>
      </c>
      <c r="B52" s="53">
        <v>901</v>
      </c>
      <c r="C52" s="48" t="s">
        <v>26</v>
      </c>
      <c r="D52" s="48" t="s">
        <v>48</v>
      </c>
      <c r="E52" s="48" t="s">
        <v>381</v>
      </c>
      <c r="F52" s="48"/>
      <c r="G52" s="119">
        <f>G53</f>
        <v>8767.1000000000022</v>
      </c>
      <c r="H52" s="119">
        <f>H53</f>
        <v>8000</v>
      </c>
      <c r="I52" s="119">
        <f>I53</f>
        <v>8000</v>
      </c>
      <c r="J52" s="186"/>
      <c r="K52" s="186"/>
      <c r="L52" s="186"/>
      <c r="M52" s="65"/>
      <c r="N52" s="65"/>
      <c r="O52" s="65"/>
      <c r="P52" s="65"/>
      <c r="Q52" s="65"/>
      <c r="R52" s="65"/>
      <c r="S52" s="65"/>
      <c r="T52" s="65"/>
    </row>
    <row r="53" spans="1:20" s="2" customFormat="1" ht="17.25" customHeight="1" x14ac:dyDescent="0.25">
      <c r="A53" s="24" t="s">
        <v>95</v>
      </c>
      <c r="B53" s="53">
        <v>901</v>
      </c>
      <c r="C53" s="48" t="s">
        <v>26</v>
      </c>
      <c r="D53" s="48" t="s">
        <v>48</v>
      </c>
      <c r="E53" s="48" t="s">
        <v>381</v>
      </c>
      <c r="F53" s="48" t="s">
        <v>62</v>
      </c>
      <c r="G53" s="119">
        <f>21911.7-13141.8-2.8</f>
        <v>8767.1000000000022</v>
      </c>
      <c r="H53" s="119">
        <v>8000</v>
      </c>
      <c r="I53" s="119">
        <v>8000</v>
      </c>
      <c r="J53" s="228"/>
      <c r="K53" s="186"/>
      <c r="L53" s="186"/>
      <c r="M53" s="186"/>
      <c r="N53" s="65"/>
      <c r="O53" s="65"/>
      <c r="P53" s="65"/>
      <c r="Q53" s="65"/>
      <c r="R53" s="65"/>
      <c r="S53" s="65"/>
      <c r="T53" s="65"/>
    </row>
    <row r="54" spans="1:20" s="2" customFormat="1" ht="17.25" customHeight="1" x14ac:dyDescent="0.25">
      <c r="A54" s="24" t="s">
        <v>383</v>
      </c>
      <c r="B54" s="53">
        <v>901</v>
      </c>
      <c r="C54" s="48" t="s">
        <v>26</v>
      </c>
      <c r="D54" s="48" t="s">
        <v>48</v>
      </c>
      <c r="E54" s="48" t="s">
        <v>722</v>
      </c>
      <c r="F54" s="48"/>
      <c r="G54" s="119">
        <f>G55</f>
        <v>0</v>
      </c>
      <c r="H54" s="119">
        <f>H55</f>
        <v>219090.7</v>
      </c>
      <c r="I54" s="119">
        <f t="shared" ref="I54" si="15">I55</f>
        <v>167675.20000000001</v>
      </c>
      <c r="J54" s="186"/>
      <c r="K54" s="186"/>
      <c r="L54" s="186"/>
      <c r="M54" s="186"/>
      <c r="N54" s="65"/>
      <c r="O54" s="65"/>
      <c r="P54" s="65"/>
      <c r="Q54" s="65"/>
      <c r="R54" s="65"/>
      <c r="S54" s="65"/>
      <c r="T54" s="65"/>
    </row>
    <row r="55" spans="1:20" s="2" customFormat="1" ht="17.25" customHeight="1" x14ac:dyDescent="0.25">
      <c r="A55" s="24" t="s">
        <v>95</v>
      </c>
      <c r="B55" s="53">
        <v>901</v>
      </c>
      <c r="C55" s="48" t="s">
        <v>26</v>
      </c>
      <c r="D55" s="48" t="s">
        <v>48</v>
      </c>
      <c r="E55" s="48" t="s">
        <v>722</v>
      </c>
      <c r="F55" s="48" t="s">
        <v>62</v>
      </c>
      <c r="G55" s="119">
        <v>0</v>
      </c>
      <c r="H55" s="119">
        <f>80101.5+138989.2</f>
        <v>219090.7</v>
      </c>
      <c r="I55" s="119">
        <f>171612.6-3937.4</f>
        <v>167675.20000000001</v>
      </c>
      <c r="J55" s="186"/>
      <c r="K55" s="186"/>
      <c r="L55" s="186"/>
      <c r="M55" s="186"/>
      <c r="N55" s="65"/>
      <c r="O55" s="65"/>
      <c r="P55" s="65"/>
      <c r="Q55" s="65"/>
      <c r="R55" s="65"/>
      <c r="S55" s="65"/>
      <c r="T55" s="65"/>
    </row>
    <row r="56" spans="1:20" s="2" customFormat="1" ht="15" customHeight="1" x14ac:dyDescent="0.25">
      <c r="A56" s="24" t="s">
        <v>641</v>
      </c>
      <c r="B56" s="53">
        <v>901</v>
      </c>
      <c r="C56" s="48" t="s">
        <v>48</v>
      </c>
      <c r="D56" s="48"/>
      <c r="E56" s="48"/>
      <c r="F56" s="48"/>
      <c r="G56" s="119">
        <f t="shared" ref="G56:I59" si="16">G57</f>
        <v>10885</v>
      </c>
      <c r="H56" s="119">
        <f t="shared" si="16"/>
        <v>106742.3</v>
      </c>
      <c r="I56" s="119">
        <f t="shared" si="16"/>
        <v>170282</v>
      </c>
      <c r="J56" s="186"/>
      <c r="K56" s="186"/>
      <c r="L56" s="186"/>
      <c r="M56" s="65"/>
      <c r="N56" s="65"/>
      <c r="O56" s="65"/>
      <c r="P56" s="65"/>
      <c r="Q56" s="65"/>
      <c r="R56" s="65"/>
      <c r="S56" s="65"/>
      <c r="T56" s="65"/>
    </row>
    <row r="57" spans="1:20" s="2" customFormat="1" ht="14.25" x14ac:dyDescent="0.25">
      <c r="A57" s="24" t="s">
        <v>642</v>
      </c>
      <c r="B57" s="53">
        <v>901</v>
      </c>
      <c r="C57" s="48" t="s">
        <v>48</v>
      </c>
      <c r="D57" s="48" t="s">
        <v>26</v>
      </c>
      <c r="E57" s="48"/>
      <c r="F57" s="48"/>
      <c r="G57" s="119">
        <f t="shared" si="16"/>
        <v>10885</v>
      </c>
      <c r="H57" s="119">
        <f t="shared" si="16"/>
        <v>106742.3</v>
      </c>
      <c r="I57" s="119">
        <f t="shared" si="16"/>
        <v>170282</v>
      </c>
      <c r="J57" s="186"/>
      <c r="K57" s="186"/>
      <c r="L57" s="186"/>
      <c r="M57" s="65"/>
      <c r="N57" s="65"/>
      <c r="O57" s="65"/>
      <c r="P57" s="65"/>
      <c r="Q57" s="65"/>
      <c r="R57" s="65"/>
      <c r="S57" s="65"/>
      <c r="T57" s="65"/>
    </row>
    <row r="58" spans="1:20" s="2" customFormat="1" ht="14.25" x14ac:dyDescent="0.25">
      <c r="A58" s="24" t="s">
        <v>378</v>
      </c>
      <c r="B58" s="53">
        <v>901</v>
      </c>
      <c r="C58" s="48" t="s">
        <v>48</v>
      </c>
      <c r="D58" s="48" t="s">
        <v>26</v>
      </c>
      <c r="E58" s="48" t="s">
        <v>194</v>
      </c>
      <c r="F58" s="48"/>
      <c r="G58" s="119">
        <f>G59</f>
        <v>10885</v>
      </c>
      <c r="H58" s="119">
        <f t="shared" si="16"/>
        <v>106742.3</v>
      </c>
      <c r="I58" s="119">
        <f t="shared" si="16"/>
        <v>170282</v>
      </c>
      <c r="J58" s="186"/>
      <c r="K58" s="186"/>
      <c r="L58" s="186"/>
      <c r="M58" s="65"/>
      <c r="N58" s="65"/>
      <c r="O58" s="65"/>
      <c r="P58" s="65"/>
      <c r="Q58" s="65"/>
      <c r="R58" s="65"/>
      <c r="S58" s="65"/>
      <c r="T58" s="65"/>
    </row>
    <row r="59" spans="1:20" s="2" customFormat="1" ht="14.25" x14ac:dyDescent="0.25">
      <c r="A59" s="24" t="s">
        <v>732</v>
      </c>
      <c r="B59" s="53">
        <v>901</v>
      </c>
      <c r="C59" s="48" t="s">
        <v>48</v>
      </c>
      <c r="D59" s="48" t="s">
        <v>26</v>
      </c>
      <c r="E59" s="48" t="s">
        <v>384</v>
      </c>
      <c r="F59" s="48"/>
      <c r="G59" s="119">
        <f>G60</f>
        <v>10885</v>
      </c>
      <c r="H59" s="119">
        <f t="shared" si="16"/>
        <v>106742.3</v>
      </c>
      <c r="I59" s="119">
        <f t="shared" si="16"/>
        <v>170282</v>
      </c>
      <c r="J59" s="186"/>
      <c r="K59" s="186"/>
      <c r="L59" s="186"/>
      <c r="M59" s="65"/>
      <c r="N59" s="65"/>
      <c r="O59" s="65"/>
      <c r="P59" s="65"/>
      <c r="Q59" s="65"/>
      <c r="R59" s="65"/>
      <c r="S59" s="65"/>
      <c r="T59" s="65"/>
    </row>
    <row r="60" spans="1:20" s="2" customFormat="1" ht="40.5" customHeight="1" x14ac:dyDescent="0.25">
      <c r="A60" s="24" t="s">
        <v>733</v>
      </c>
      <c r="B60" s="53">
        <v>901</v>
      </c>
      <c r="C60" s="48" t="s">
        <v>48</v>
      </c>
      <c r="D60" s="48" t="s">
        <v>26</v>
      </c>
      <c r="E60" s="48" t="s">
        <v>385</v>
      </c>
      <c r="F60" s="48"/>
      <c r="G60" s="119">
        <f t="shared" ref="G60:I61" si="17">G61</f>
        <v>10885</v>
      </c>
      <c r="H60" s="119">
        <f t="shared" si="17"/>
        <v>106742.3</v>
      </c>
      <c r="I60" s="119">
        <f t="shared" si="17"/>
        <v>170282</v>
      </c>
      <c r="J60" s="186"/>
      <c r="K60" s="186"/>
      <c r="L60" s="186"/>
      <c r="M60" s="65"/>
      <c r="N60" s="65"/>
      <c r="O60" s="65"/>
      <c r="P60" s="65"/>
      <c r="Q60" s="65"/>
      <c r="R60" s="65"/>
      <c r="S60" s="65"/>
      <c r="T60" s="65"/>
    </row>
    <row r="61" spans="1:20" s="2" customFormat="1" ht="15" customHeight="1" x14ac:dyDescent="0.25">
      <c r="A61" s="24" t="s">
        <v>201</v>
      </c>
      <c r="B61" s="53">
        <v>901</v>
      </c>
      <c r="C61" s="48" t="s">
        <v>48</v>
      </c>
      <c r="D61" s="48" t="s">
        <v>26</v>
      </c>
      <c r="E61" s="48" t="s">
        <v>386</v>
      </c>
      <c r="F61" s="48"/>
      <c r="G61" s="119">
        <f t="shared" si="17"/>
        <v>10885</v>
      </c>
      <c r="H61" s="119">
        <f t="shared" si="17"/>
        <v>106742.3</v>
      </c>
      <c r="I61" s="119">
        <f t="shared" si="17"/>
        <v>170282</v>
      </c>
      <c r="J61" s="186"/>
      <c r="K61" s="186"/>
      <c r="L61" s="186"/>
      <c r="M61" s="65"/>
      <c r="N61" s="65"/>
      <c r="O61" s="65"/>
      <c r="P61" s="65"/>
      <c r="Q61" s="65"/>
      <c r="R61" s="65"/>
      <c r="S61" s="65"/>
      <c r="T61" s="65"/>
    </row>
    <row r="62" spans="1:20" s="2" customFormat="1" ht="15.75" customHeight="1" x14ac:dyDescent="0.25">
      <c r="A62" s="24" t="s">
        <v>315</v>
      </c>
      <c r="B62" s="53">
        <v>901</v>
      </c>
      <c r="C62" s="48" t="s">
        <v>48</v>
      </c>
      <c r="D62" s="48" t="s">
        <v>26</v>
      </c>
      <c r="E62" s="48" t="s">
        <v>386</v>
      </c>
      <c r="F62" s="48" t="s">
        <v>202</v>
      </c>
      <c r="G62" s="119">
        <f>32075.3-16190.3-5000</f>
        <v>10885</v>
      </c>
      <c r="H62" s="119">
        <v>106742.3</v>
      </c>
      <c r="I62" s="119">
        <v>170282</v>
      </c>
      <c r="J62" s="186"/>
      <c r="K62" s="186"/>
      <c r="L62" s="186"/>
      <c r="M62" s="65"/>
      <c r="N62" s="65"/>
      <c r="O62" s="65"/>
      <c r="P62" s="65"/>
      <c r="Q62" s="65"/>
      <c r="R62" s="65"/>
      <c r="S62" s="65"/>
      <c r="T62" s="65"/>
    </row>
    <row r="63" spans="1:20" s="4" customFormat="1" ht="33.75" customHeight="1" x14ac:dyDescent="0.25">
      <c r="A63" s="86" t="s">
        <v>612</v>
      </c>
      <c r="B63" s="52">
        <v>902</v>
      </c>
      <c r="C63" s="44"/>
      <c r="D63" s="44"/>
      <c r="E63" s="44"/>
      <c r="F63" s="44"/>
      <c r="G63" s="116">
        <f>G64+G312</f>
        <v>3602556.4000000004</v>
      </c>
      <c r="H63" s="116">
        <f>H64+H312</f>
        <v>3282025.6999999997</v>
      </c>
      <c r="I63" s="116">
        <f>I64+I312</f>
        <v>3381046.0999999996</v>
      </c>
      <c r="J63" s="174"/>
      <c r="K63" s="174"/>
      <c r="L63" s="174"/>
      <c r="M63" s="66"/>
      <c r="N63" s="66"/>
      <c r="O63" s="66"/>
      <c r="P63" s="66"/>
      <c r="Q63" s="66"/>
      <c r="R63" s="66"/>
      <c r="S63" s="66"/>
      <c r="T63" s="66"/>
    </row>
    <row r="64" spans="1:20" s="4" customFormat="1" x14ac:dyDescent="0.25">
      <c r="A64" s="24" t="s">
        <v>81</v>
      </c>
      <c r="B64" s="53">
        <v>902</v>
      </c>
      <c r="C64" s="48" t="s">
        <v>30</v>
      </c>
      <c r="D64" s="48"/>
      <c r="E64" s="44"/>
      <c r="F64" s="73"/>
      <c r="G64" s="119">
        <f>G65+G125+G215+G250</f>
        <v>3600649.4000000004</v>
      </c>
      <c r="H64" s="119">
        <f t="shared" ref="H64:I64" si="18">H65+H125+H215+H250</f>
        <v>3280118.6999999997</v>
      </c>
      <c r="I64" s="119">
        <f t="shared" si="18"/>
        <v>3379139.0999999996</v>
      </c>
      <c r="J64" s="188"/>
      <c r="K64" s="188"/>
      <c r="L64" s="188"/>
      <c r="M64" s="66"/>
      <c r="N64" s="66"/>
      <c r="O64" s="66"/>
      <c r="P64" s="66"/>
      <c r="Q64" s="66"/>
      <c r="R64" s="66"/>
      <c r="S64" s="66"/>
      <c r="T64" s="66"/>
    </row>
    <row r="65" spans="1:20" s="4" customFormat="1" x14ac:dyDescent="0.25">
      <c r="A65" s="24" t="s">
        <v>80</v>
      </c>
      <c r="B65" s="53">
        <v>902</v>
      </c>
      <c r="C65" s="48" t="s">
        <v>30</v>
      </c>
      <c r="D65" s="48" t="s">
        <v>26</v>
      </c>
      <c r="E65" s="44"/>
      <c r="F65" s="44"/>
      <c r="G65" s="119">
        <f>G70+G114+G117+G120+G66</f>
        <v>1234378.3999999997</v>
      </c>
      <c r="H65" s="119">
        <f>H70+H114+H117+H120+H66</f>
        <v>1312773.1000000001</v>
      </c>
      <c r="I65" s="119">
        <f>I70+I114+I117+I120+I66</f>
        <v>1372065.0999999999</v>
      </c>
      <c r="J65" s="139"/>
      <c r="K65" s="139"/>
      <c r="L65" s="139"/>
      <c r="M65" s="66"/>
      <c r="N65" s="66"/>
      <c r="O65" s="66"/>
      <c r="P65" s="66"/>
      <c r="Q65" s="66"/>
      <c r="R65" s="66"/>
      <c r="S65" s="66"/>
      <c r="T65" s="66"/>
    </row>
    <row r="66" spans="1:20" s="4" customFormat="1" ht="25.5" x14ac:dyDescent="0.25">
      <c r="A66" s="23" t="s">
        <v>546</v>
      </c>
      <c r="B66" s="53">
        <v>902</v>
      </c>
      <c r="C66" s="48" t="s">
        <v>30</v>
      </c>
      <c r="D66" s="48" t="s">
        <v>26</v>
      </c>
      <c r="E66" s="48" t="s">
        <v>143</v>
      </c>
      <c r="F66" s="48"/>
      <c r="G66" s="119">
        <f>G67</f>
        <v>2394.9</v>
      </c>
      <c r="H66" s="119">
        <f t="shared" ref="H66:I68" si="19">H67</f>
        <v>0</v>
      </c>
      <c r="I66" s="119">
        <f t="shared" si="19"/>
        <v>0</v>
      </c>
      <c r="J66" s="139"/>
      <c r="K66" s="139"/>
      <c r="L66" s="139"/>
      <c r="M66" s="66"/>
      <c r="N66" s="66"/>
      <c r="O66" s="66"/>
      <c r="P66" s="66"/>
      <c r="Q66" s="66"/>
      <c r="R66" s="66"/>
      <c r="S66" s="66"/>
      <c r="T66" s="66"/>
    </row>
    <row r="67" spans="1:20" s="4" customFormat="1" ht="38.25" x14ac:dyDescent="0.25">
      <c r="A67" s="23" t="s">
        <v>809</v>
      </c>
      <c r="B67" s="53">
        <v>902</v>
      </c>
      <c r="C67" s="48" t="s">
        <v>30</v>
      </c>
      <c r="D67" s="48" t="s">
        <v>26</v>
      </c>
      <c r="E67" s="48" t="s">
        <v>144</v>
      </c>
      <c r="F67" s="48"/>
      <c r="G67" s="119">
        <f>G68</f>
        <v>2394.9</v>
      </c>
      <c r="H67" s="119">
        <f t="shared" si="19"/>
        <v>0</v>
      </c>
      <c r="I67" s="119">
        <f t="shared" si="19"/>
        <v>0</v>
      </c>
      <c r="J67" s="139"/>
      <c r="K67" s="139"/>
      <c r="L67" s="139"/>
      <c r="M67" s="66"/>
      <c r="N67" s="66"/>
      <c r="O67" s="66"/>
      <c r="P67" s="66"/>
      <c r="Q67" s="66"/>
      <c r="R67" s="66"/>
      <c r="S67" s="66"/>
      <c r="T67" s="66"/>
    </row>
    <row r="68" spans="1:20" s="4" customFormat="1" x14ac:dyDescent="0.25">
      <c r="A68" s="24" t="s">
        <v>344</v>
      </c>
      <c r="B68" s="53">
        <v>902</v>
      </c>
      <c r="C68" s="48" t="s">
        <v>30</v>
      </c>
      <c r="D68" s="48" t="s">
        <v>26</v>
      </c>
      <c r="E68" s="48" t="s">
        <v>345</v>
      </c>
      <c r="F68" s="48"/>
      <c r="G68" s="119">
        <f>G69</f>
        <v>2394.9</v>
      </c>
      <c r="H68" s="119">
        <f t="shared" si="19"/>
        <v>0</v>
      </c>
      <c r="I68" s="119">
        <f t="shared" si="19"/>
        <v>0</v>
      </c>
      <c r="J68" s="139"/>
      <c r="K68" s="139"/>
      <c r="L68" s="139"/>
      <c r="M68" s="66"/>
      <c r="N68" s="66"/>
      <c r="O68" s="66"/>
      <c r="P68" s="66"/>
      <c r="Q68" s="66"/>
      <c r="R68" s="66"/>
      <c r="S68" s="66"/>
      <c r="T68" s="66"/>
    </row>
    <row r="69" spans="1:20" s="4" customFormat="1" ht="25.5" x14ac:dyDescent="0.25">
      <c r="A69" s="24" t="s">
        <v>64</v>
      </c>
      <c r="B69" s="53">
        <v>902</v>
      </c>
      <c r="C69" s="48" t="s">
        <v>30</v>
      </c>
      <c r="D69" s="48" t="s">
        <v>26</v>
      </c>
      <c r="E69" s="48" t="s">
        <v>345</v>
      </c>
      <c r="F69" s="48" t="s">
        <v>65</v>
      </c>
      <c r="G69" s="119">
        <v>2394.9</v>
      </c>
      <c r="H69" s="119">
        <v>0</v>
      </c>
      <c r="I69" s="119">
        <v>0</v>
      </c>
      <c r="J69" s="139"/>
      <c r="K69" s="139"/>
      <c r="L69" s="139"/>
      <c r="M69" s="66"/>
      <c r="N69" s="66"/>
      <c r="O69" s="66"/>
      <c r="P69" s="66"/>
      <c r="Q69" s="66"/>
      <c r="R69" s="66"/>
      <c r="S69" s="66"/>
      <c r="T69" s="66"/>
    </row>
    <row r="70" spans="1:20" s="4" customFormat="1" ht="30" customHeight="1" x14ac:dyDescent="0.25">
      <c r="A70" s="24" t="s">
        <v>541</v>
      </c>
      <c r="B70" s="53">
        <v>902</v>
      </c>
      <c r="C70" s="48" t="s">
        <v>30</v>
      </c>
      <c r="D70" s="48" t="s">
        <v>26</v>
      </c>
      <c r="E70" s="48" t="s">
        <v>102</v>
      </c>
      <c r="F70" s="48"/>
      <c r="G70" s="119">
        <f>G71+G107</f>
        <v>1224990.2999999998</v>
      </c>
      <c r="H70" s="119">
        <f>H71+H107</f>
        <v>1307830.9000000001</v>
      </c>
      <c r="I70" s="119">
        <f>I71+I107</f>
        <v>1367122.9</v>
      </c>
      <c r="J70" s="139"/>
      <c r="K70" s="139"/>
      <c r="L70" s="182"/>
      <c r="M70" s="66"/>
      <c r="N70" s="66"/>
      <c r="O70" s="142"/>
      <c r="P70" s="66"/>
      <c r="Q70" s="66"/>
      <c r="R70" s="66"/>
      <c r="S70" s="66"/>
      <c r="T70" s="66"/>
    </row>
    <row r="71" spans="1:20" s="4" customFormat="1" x14ac:dyDescent="0.25">
      <c r="A71" s="24" t="s">
        <v>863</v>
      </c>
      <c r="B71" s="53">
        <v>902</v>
      </c>
      <c r="C71" s="48" t="s">
        <v>30</v>
      </c>
      <c r="D71" s="48" t="s">
        <v>26</v>
      </c>
      <c r="E71" s="48" t="s">
        <v>103</v>
      </c>
      <c r="F71" s="48"/>
      <c r="G71" s="119">
        <f>G72+G97+G104</f>
        <v>1213165.4999999998</v>
      </c>
      <c r="H71" s="119">
        <f>H72+H97+H104</f>
        <v>1301193.8</v>
      </c>
      <c r="I71" s="119">
        <f>I72+I97+I104</f>
        <v>1363185.5</v>
      </c>
      <c r="J71" s="139"/>
      <c r="K71" s="139"/>
      <c r="L71" s="139"/>
      <c r="M71" s="66"/>
      <c r="N71" s="66"/>
      <c r="O71" s="66"/>
      <c r="P71" s="66"/>
      <c r="Q71" s="66"/>
      <c r="R71" s="66"/>
      <c r="S71" s="66"/>
      <c r="T71" s="66"/>
    </row>
    <row r="72" spans="1:20" s="4" customFormat="1" ht="28.5" customHeight="1" x14ac:dyDescent="0.25">
      <c r="A72" s="24" t="s">
        <v>735</v>
      </c>
      <c r="B72" s="53">
        <v>902</v>
      </c>
      <c r="C72" s="48" t="s">
        <v>30</v>
      </c>
      <c r="D72" s="48" t="s">
        <v>26</v>
      </c>
      <c r="E72" s="48" t="s">
        <v>104</v>
      </c>
      <c r="F72" s="48"/>
      <c r="G72" s="119">
        <f>G73+G88+G90+G92</f>
        <v>1149455.9999999998</v>
      </c>
      <c r="H72" s="119">
        <f t="shared" ref="H72:I72" si="20">H73+H88+H90+H92</f>
        <v>1257444.6000000001</v>
      </c>
      <c r="I72" s="119">
        <f t="shared" si="20"/>
        <v>1303937.3</v>
      </c>
      <c r="J72" s="139"/>
      <c r="K72" s="139"/>
      <c r="L72" s="139"/>
      <c r="M72" s="66"/>
      <c r="N72" s="66"/>
      <c r="O72" s="66"/>
      <c r="P72" s="66"/>
      <c r="Q72" s="66"/>
      <c r="R72" s="66"/>
      <c r="S72" s="66"/>
      <c r="T72" s="66"/>
    </row>
    <row r="73" spans="1:20" s="4" customFormat="1" ht="29.25" customHeight="1" x14ac:dyDescent="0.25">
      <c r="A73" s="24" t="s">
        <v>242</v>
      </c>
      <c r="B73" s="53">
        <v>902</v>
      </c>
      <c r="C73" s="48" t="s">
        <v>30</v>
      </c>
      <c r="D73" s="48" t="s">
        <v>26</v>
      </c>
      <c r="E73" s="48" t="s">
        <v>243</v>
      </c>
      <c r="F73" s="48"/>
      <c r="G73" s="119">
        <f>G74+G76+G78+G80+G84+G82+G86</f>
        <v>357699.69999999995</v>
      </c>
      <c r="H73" s="119">
        <f>H74+H76+H78+H80+H84+H82+H86</f>
        <v>393195.9</v>
      </c>
      <c r="I73" s="119">
        <f>I74+I76+I78+I80+I84+I82+I86</f>
        <v>395739.30000000005</v>
      </c>
      <c r="J73" s="139"/>
      <c r="K73" s="139"/>
      <c r="L73" s="139"/>
      <c r="M73" s="66"/>
      <c r="N73" s="66"/>
      <c r="O73" s="66"/>
      <c r="P73" s="66"/>
      <c r="Q73" s="66"/>
      <c r="R73" s="66"/>
      <c r="S73" s="66"/>
      <c r="T73" s="66"/>
    </row>
    <row r="74" spans="1:20" s="4" customFormat="1" ht="38.25" x14ac:dyDescent="0.25">
      <c r="A74" s="24" t="s">
        <v>354</v>
      </c>
      <c r="B74" s="53">
        <v>902</v>
      </c>
      <c r="C74" s="48" t="s">
        <v>30</v>
      </c>
      <c r="D74" s="48" t="s">
        <v>26</v>
      </c>
      <c r="E74" s="48" t="s">
        <v>359</v>
      </c>
      <c r="F74" s="48"/>
      <c r="G74" s="119">
        <f>G75</f>
        <v>101470.50000000001</v>
      </c>
      <c r="H74" s="119">
        <f>H75</f>
        <v>122278.8</v>
      </c>
      <c r="I74" s="119">
        <f>I75</f>
        <v>122278.8</v>
      </c>
      <c r="J74" s="139"/>
      <c r="K74" s="139"/>
      <c r="L74" s="139"/>
      <c r="M74" s="139"/>
      <c r="N74" s="66"/>
      <c r="O74" s="66"/>
      <c r="P74" s="66"/>
      <c r="Q74" s="66"/>
      <c r="R74" s="66"/>
      <c r="S74" s="66"/>
      <c r="T74" s="66"/>
    </row>
    <row r="75" spans="1:20" s="4" customFormat="1" ht="25.5" x14ac:dyDescent="0.25">
      <c r="A75" s="24" t="s">
        <v>64</v>
      </c>
      <c r="B75" s="53">
        <v>902</v>
      </c>
      <c r="C75" s="48" t="s">
        <v>30</v>
      </c>
      <c r="D75" s="48" t="s">
        <v>26</v>
      </c>
      <c r="E75" s="48" t="s">
        <v>359</v>
      </c>
      <c r="F75" s="48" t="s">
        <v>65</v>
      </c>
      <c r="G75" s="119">
        <f>122278.8-5881.2-534.7-4944.4-9448</f>
        <v>101470.50000000001</v>
      </c>
      <c r="H75" s="119">
        <v>122278.8</v>
      </c>
      <c r="I75" s="119">
        <v>122278.8</v>
      </c>
      <c r="J75" s="139"/>
      <c r="K75" s="139"/>
      <c r="L75" s="139"/>
      <c r="M75" s="139"/>
      <c r="N75" s="66"/>
      <c r="O75" s="66"/>
      <c r="P75" s="66"/>
      <c r="Q75" s="66"/>
      <c r="R75" s="66"/>
      <c r="S75" s="66"/>
      <c r="T75" s="66"/>
    </row>
    <row r="76" spans="1:20" s="4" customFormat="1" ht="25.5" x14ac:dyDescent="0.25">
      <c r="A76" s="24" t="s">
        <v>361</v>
      </c>
      <c r="B76" s="53">
        <v>902</v>
      </c>
      <c r="C76" s="48" t="s">
        <v>30</v>
      </c>
      <c r="D76" s="48" t="s">
        <v>26</v>
      </c>
      <c r="E76" s="48" t="s">
        <v>360</v>
      </c>
      <c r="F76" s="48"/>
      <c r="G76" s="119">
        <f>G77</f>
        <v>60933.399999999987</v>
      </c>
      <c r="H76" s="119">
        <f>H77</f>
        <v>73601.099999999991</v>
      </c>
      <c r="I76" s="119">
        <f>I77</f>
        <v>76559.399999999994</v>
      </c>
      <c r="J76" s="139"/>
      <c r="K76" s="139"/>
      <c r="L76" s="139"/>
      <c r="M76" s="139"/>
      <c r="N76" s="66"/>
      <c r="O76" s="66"/>
      <c r="P76" s="66"/>
      <c r="Q76" s="66"/>
      <c r="R76" s="66"/>
      <c r="S76" s="66"/>
      <c r="T76" s="66"/>
    </row>
    <row r="77" spans="1:20" s="4" customFormat="1" ht="25.5" x14ac:dyDescent="0.25">
      <c r="A77" s="24" t="s">
        <v>64</v>
      </c>
      <c r="B77" s="53">
        <v>902</v>
      </c>
      <c r="C77" s="48" t="s">
        <v>30</v>
      </c>
      <c r="D77" s="48" t="s">
        <v>26</v>
      </c>
      <c r="E77" s="48" t="s">
        <v>360</v>
      </c>
      <c r="F77" s="48" t="s">
        <v>65</v>
      </c>
      <c r="G77" s="119">
        <f>70789.8-533.8+3283.3+2.9-146.3-444.2-667-34.3-66.1-780-64.8-10406.1</f>
        <v>60933.399999999987</v>
      </c>
      <c r="H77" s="119">
        <f>73649.7-48.6</f>
        <v>73601.099999999991</v>
      </c>
      <c r="I77" s="119">
        <f>76625.2-65.8</f>
        <v>76559.399999999994</v>
      </c>
      <c r="J77" s="153"/>
      <c r="K77" s="139"/>
      <c r="L77" s="139"/>
      <c r="M77" s="139"/>
      <c r="N77" s="66"/>
      <c r="O77" s="66"/>
      <c r="P77" s="66"/>
      <c r="Q77" s="66"/>
      <c r="R77" s="66"/>
      <c r="S77" s="66"/>
      <c r="T77" s="66"/>
    </row>
    <row r="78" spans="1:20" s="4" customFormat="1" ht="25.5" x14ac:dyDescent="0.25">
      <c r="A78" s="24" t="s">
        <v>356</v>
      </c>
      <c r="B78" s="53">
        <v>902</v>
      </c>
      <c r="C78" s="48" t="s">
        <v>30</v>
      </c>
      <c r="D78" s="48" t="s">
        <v>26</v>
      </c>
      <c r="E78" s="48" t="s">
        <v>362</v>
      </c>
      <c r="F78" s="48"/>
      <c r="G78" s="119">
        <f>G79</f>
        <v>19308.7</v>
      </c>
      <c r="H78" s="119">
        <f>H79</f>
        <v>18884.5</v>
      </c>
      <c r="I78" s="119">
        <f>I79</f>
        <v>18469.599999999999</v>
      </c>
      <c r="J78" s="139"/>
      <c r="K78" s="139"/>
      <c r="L78" s="139"/>
      <c r="M78" s="139"/>
      <c r="N78" s="66"/>
      <c r="O78" s="66"/>
      <c r="P78" s="66"/>
      <c r="Q78" s="66"/>
      <c r="R78" s="66"/>
      <c r="S78" s="66"/>
      <c r="T78" s="66"/>
    </row>
    <row r="79" spans="1:20" s="4" customFormat="1" ht="25.5" x14ac:dyDescent="0.25">
      <c r="A79" s="24" t="s">
        <v>64</v>
      </c>
      <c r="B79" s="53">
        <v>902</v>
      </c>
      <c r="C79" s="48" t="s">
        <v>30</v>
      </c>
      <c r="D79" s="48" t="s">
        <v>26</v>
      </c>
      <c r="E79" s="48" t="s">
        <v>362</v>
      </c>
      <c r="F79" s="48" t="s">
        <v>65</v>
      </c>
      <c r="G79" s="119">
        <v>19308.7</v>
      </c>
      <c r="H79" s="119">
        <v>18884.5</v>
      </c>
      <c r="I79" s="119">
        <v>18469.599999999999</v>
      </c>
      <c r="J79" s="188"/>
      <c r="K79" s="139"/>
      <c r="L79" s="139"/>
      <c r="M79" s="139"/>
      <c r="N79" s="66"/>
      <c r="O79" s="66"/>
      <c r="P79" s="66"/>
      <c r="Q79" s="66"/>
      <c r="R79" s="66"/>
      <c r="S79" s="66"/>
      <c r="T79" s="66"/>
    </row>
    <row r="80" spans="1:20" s="4" customFormat="1" ht="25.5" x14ac:dyDescent="0.25">
      <c r="A80" s="24" t="s">
        <v>601</v>
      </c>
      <c r="B80" s="53">
        <v>902</v>
      </c>
      <c r="C80" s="48" t="s">
        <v>30</v>
      </c>
      <c r="D80" s="48" t="s">
        <v>26</v>
      </c>
      <c r="E80" s="48" t="s">
        <v>542</v>
      </c>
      <c r="F80" s="48"/>
      <c r="G80" s="119">
        <f>G81</f>
        <v>81112.2</v>
      </c>
      <c r="H80" s="119">
        <f>H81</f>
        <v>83706.100000000006</v>
      </c>
      <c r="I80" s="119">
        <f>I81</f>
        <v>83706.100000000006</v>
      </c>
      <c r="J80" s="139"/>
      <c r="K80" s="139"/>
      <c r="L80" s="139"/>
      <c r="M80" s="139"/>
      <c r="N80" s="66"/>
      <c r="O80" s="66"/>
      <c r="P80" s="66"/>
      <c r="Q80" s="66"/>
      <c r="R80" s="66"/>
      <c r="S80" s="66"/>
      <c r="T80" s="66"/>
    </row>
    <row r="81" spans="1:20" s="4" customFormat="1" ht="25.5" x14ac:dyDescent="0.25">
      <c r="A81" s="24" t="s">
        <v>64</v>
      </c>
      <c r="B81" s="53">
        <v>902</v>
      </c>
      <c r="C81" s="48" t="s">
        <v>30</v>
      </c>
      <c r="D81" s="48" t="s">
        <v>26</v>
      </c>
      <c r="E81" s="48" t="s">
        <v>542</v>
      </c>
      <c r="F81" s="48" t="s">
        <v>65</v>
      </c>
      <c r="G81" s="119">
        <f>43706.1+10406.1+27000</f>
        <v>81112.2</v>
      </c>
      <c r="H81" s="119">
        <v>83706.100000000006</v>
      </c>
      <c r="I81" s="119">
        <v>83706.100000000006</v>
      </c>
      <c r="J81" s="139"/>
      <c r="K81" s="139"/>
      <c r="L81" s="139"/>
      <c r="M81" s="139"/>
      <c r="N81" s="66"/>
      <c r="O81" s="66"/>
      <c r="P81" s="66"/>
      <c r="Q81" s="66"/>
      <c r="R81" s="66"/>
      <c r="S81" s="66"/>
      <c r="T81" s="66"/>
    </row>
    <row r="82" spans="1:20" s="4" customFormat="1" ht="25.5" x14ac:dyDescent="0.25">
      <c r="A82" s="24" t="s">
        <v>698</v>
      </c>
      <c r="B82" s="53">
        <v>902</v>
      </c>
      <c r="C82" s="48" t="s">
        <v>30</v>
      </c>
      <c r="D82" s="48" t="s">
        <v>26</v>
      </c>
      <c r="E82" s="48" t="s">
        <v>699</v>
      </c>
      <c r="F82" s="48"/>
      <c r="G82" s="119">
        <f>G83</f>
        <v>58756.800000000003</v>
      </c>
      <c r="H82" s="119">
        <f t="shared" ref="H82:I82" si="21">H83</f>
        <v>55919</v>
      </c>
      <c r="I82" s="119">
        <f t="shared" si="21"/>
        <v>55919</v>
      </c>
      <c r="J82" s="139"/>
      <c r="K82" s="139"/>
      <c r="L82" s="139"/>
      <c r="M82" s="139"/>
      <c r="N82" s="66"/>
      <c r="O82" s="66"/>
      <c r="P82" s="66"/>
      <c r="Q82" s="66"/>
      <c r="R82" s="66"/>
      <c r="S82" s="66"/>
      <c r="T82" s="66"/>
    </row>
    <row r="83" spans="1:20" s="4" customFormat="1" ht="25.5" x14ac:dyDescent="0.25">
      <c r="A83" s="24" t="s">
        <v>64</v>
      </c>
      <c r="B83" s="53">
        <v>902</v>
      </c>
      <c r="C83" s="48" t="s">
        <v>30</v>
      </c>
      <c r="D83" s="48" t="s">
        <v>26</v>
      </c>
      <c r="E83" s="48" t="s">
        <v>699</v>
      </c>
      <c r="F83" s="48" t="s">
        <v>65</v>
      </c>
      <c r="G83" s="119">
        <f>55919+2837.8</f>
        <v>58756.800000000003</v>
      </c>
      <c r="H83" s="119">
        <v>55919</v>
      </c>
      <c r="I83" s="119">
        <v>55919</v>
      </c>
      <c r="J83" s="139"/>
      <c r="K83" s="139"/>
      <c r="L83" s="139"/>
      <c r="M83" s="139"/>
      <c r="N83" s="66"/>
      <c r="O83" s="66"/>
      <c r="P83" s="66"/>
      <c r="Q83" s="66"/>
      <c r="R83" s="66"/>
      <c r="S83" s="66"/>
      <c r="T83" s="66"/>
    </row>
    <row r="84" spans="1:20" s="4" customFormat="1" ht="25.5" x14ac:dyDescent="0.25">
      <c r="A84" s="24" t="s">
        <v>357</v>
      </c>
      <c r="B84" s="53">
        <v>902</v>
      </c>
      <c r="C84" s="48" t="s">
        <v>30</v>
      </c>
      <c r="D84" s="48" t="s">
        <v>26</v>
      </c>
      <c r="E84" s="48" t="s">
        <v>363</v>
      </c>
      <c r="F84" s="48"/>
      <c r="G84" s="119">
        <f>G85</f>
        <v>26089.1</v>
      </c>
      <c r="H84" s="119">
        <f>H85</f>
        <v>28777.4</v>
      </c>
      <c r="I84" s="119">
        <f>I85</f>
        <v>28777.4</v>
      </c>
      <c r="J84" s="139"/>
      <c r="K84" s="139"/>
      <c r="L84" s="139"/>
      <c r="M84" s="139"/>
      <c r="N84" s="66"/>
      <c r="O84" s="66"/>
      <c r="P84" s="66"/>
      <c r="Q84" s="66"/>
      <c r="R84" s="66"/>
      <c r="S84" s="66"/>
      <c r="T84" s="66"/>
    </row>
    <row r="85" spans="1:20" s="4" customFormat="1" ht="25.5" x14ac:dyDescent="0.25">
      <c r="A85" s="24" t="s">
        <v>64</v>
      </c>
      <c r="B85" s="53">
        <v>902</v>
      </c>
      <c r="C85" s="48" t="s">
        <v>30</v>
      </c>
      <c r="D85" s="48" t="s">
        <v>26</v>
      </c>
      <c r="E85" s="48" t="s">
        <v>363</v>
      </c>
      <c r="F85" s="48" t="s">
        <v>65</v>
      </c>
      <c r="G85" s="119">
        <f>29554-3283.3-99.4-53.5-28.7</f>
        <v>26089.1</v>
      </c>
      <c r="H85" s="119">
        <v>28777.4</v>
      </c>
      <c r="I85" s="119">
        <v>28777.4</v>
      </c>
      <c r="J85" s="139"/>
      <c r="K85" s="139"/>
      <c r="L85" s="139"/>
      <c r="M85" s="139"/>
      <c r="N85" s="66"/>
      <c r="O85" s="66"/>
      <c r="P85" s="66"/>
      <c r="Q85" s="66"/>
      <c r="R85" s="66"/>
      <c r="S85" s="66"/>
      <c r="T85" s="66"/>
    </row>
    <row r="86" spans="1:20" s="4" customFormat="1" ht="51" x14ac:dyDescent="0.25">
      <c r="A86" s="24" t="s">
        <v>907</v>
      </c>
      <c r="B86" s="53">
        <v>902</v>
      </c>
      <c r="C86" s="48" t="s">
        <v>30</v>
      </c>
      <c r="D86" s="48" t="s">
        <v>26</v>
      </c>
      <c r="E86" s="48" t="s">
        <v>883</v>
      </c>
      <c r="F86" s="48"/>
      <c r="G86" s="119">
        <f>G87</f>
        <v>10029</v>
      </c>
      <c r="H86" s="119">
        <f t="shared" ref="H86:I86" si="22">H87</f>
        <v>10029</v>
      </c>
      <c r="I86" s="119">
        <f t="shared" si="22"/>
        <v>10029</v>
      </c>
      <c r="J86" s="139"/>
      <c r="K86" s="139"/>
      <c r="L86" s="139"/>
      <c r="M86" s="139"/>
      <c r="N86" s="66"/>
      <c r="O86" s="66"/>
      <c r="P86" s="66"/>
      <c r="Q86" s="66"/>
      <c r="R86" s="66"/>
      <c r="S86" s="66"/>
      <c r="T86" s="66"/>
    </row>
    <row r="87" spans="1:20" s="4" customFormat="1" ht="25.5" x14ac:dyDescent="0.25">
      <c r="A87" s="24" t="s">
        <v>64</v>
      </c>
      <c r="B87" s="53">
        <v>902</v>
      </c>
      <c r="C87" s="48" t="s">
        <v>30</v>
      </c>
      <c r="D87" s="48" t="s">
        <v>26</v>
      </c>
      <c r="E87" s="48" t="s">
        <v>883</v>
      </c>
      <c r="F87" s="48" t="s">
        <v>65</v>
      </c>
      <c r="G87" s="119">
        <v>10029</v>
      </c>
      <c r="H87" s="119">
        <v>10029</v>
      </c>
      <c r="I87" s="119">
        <v>10029</v>
      </c>
      <c r="J87" s="139"/>
      <c r="K87" s="139"/>
      <c r="L87" s="139"/>
      <c r="M87" s="139"/>
      <c r="N87" s="66"/>
      <c r="O87" s="66"/>
      <c r="P87" s="66"/>
      <c r="Q87" s="66"/>
      <c r="R87" s="66"/>
      <c r="S87" s="66"/>
      <c r="T87" s="66"/>
    </row>
    <row r="88" spans="1:20" s="4" customFormat="1" ht="38.25" x14ac:dyDescent="0.25">
      <c r="A88" s="24" t="s">
        <v>298</v>
      </c>
      <c r="B88" s="53">
        <v>902</v>
      </c>
      <c r="C88" s="48" t="s">
        <v>30</v>
      </c>
      <c r="D88" s="48" t="s">
        <v>26</v>
      </c>
      <c r="E88" s="48" t="s">
        <v>165</v>
      </c>
      <c r="F88" s="48"/>
      <c r="G88" s="119">
        <f>G89</f>
        <v>732894.1</v>
      </c>
      <c r="H88" s="119">
        <f>H89</f>
        <v>864198.7</v>
      </c>
      <c r="I88" s="119">
        <f>I89</f>
        <v>908148</v>
      </c>
      <c r="J88" s="139"/>
      <c r="K88" s="139"/>
      <c r="L88" s="139"/>
      <c r="M88" s="66"/>
      <c r="N88" s="66"/>
      <c r="O88" s="66"/>
      <c r="P88" s="66"/>
      <c r="Q88" s="66"/>
      <c r="R88" s="66"/>
      <c r="S88" s="66"/>
      <c r="T88" s="66"/>
    </row>
    <row r="89" spans="1:20" s="4" customFormat="1" ht="25.5" x14ac:dyDescent="0.25">
      <c r="A89" s="24" t="s">
        <v>64</v>
      </c>
      <c r="B89" s="53">
        <v>902</v>
      </c>
      <c r="C89" s="48" t="s">
        <v>30</v>
      </c>
      <c r="D89" s="48" t="s">
        <v>26</v>
      </c>
      <c r="E89" s="48" t="s">
        <v>165</v>
      </c>
      <c r="F89" s="48" t="s">
        <v>65</v>
      </c>
      <c r="G89" s="119">
        <v>732894.1</v>
      </c>
      <c r="H89" s="119">
        <v>864198.7</v>
      </c>
      <c r="I89" s="119">
        <v>908148</v>
      </c>
      <c r="J89" s="153"/>
      <c r="K89" s="139"/>
      <c r="L89" s="139"/>
      <c r="M89" s="66"/>
      <c r="N89" s="66"/>
      <c r="O89" s="66"/>
      <c r="P89" s="66"/>
      <c r="Q89" s="66"/>
      <c r="R89" s="66"/>
      <c r="S89" s="66"/>
      <c r="T89" s="66"/>
    </row>
    <row r="90" spans="1:20" s="4" customFormat="1" ht="25.5" x14ac:dyDescent="0.25">
      <c r="A90" s="24" t="s">
        <v>299</v>
      </c>
      <c r="B90" s="53">
        <v>902</v>
      </c>
      <c r="C90" s="48" t="s">
        <v>30</v>
      </c>
      <c r="D90" s="48" t="s">
        <v>26</v>
      </c>
      <c r="E90" s="48" t="s">
        <v>166</v>
      </c>
      <c r="F90" s="48"/>
      <c r="G90" s="119">
        <f>G91</f>
        <v>50</v>
      </c>
      <c r="H90" s="119">
        <f t="shared" ref="H90:I90" si="23">H91</f>
        <v>50</v>
      </c>
      <c r="I90" s="119">
        <f t="shared" si="23"/>
        <v>50</v>
      </c>
      <c r="J90" s="139"/>
      <c r="K90" s="139"/>
      <c r="L90" s="139"/>
      <c r="M90" s="66"/>
      <c r="N90" s="66"/>
      <c r="O90" s="66"/>
      <c r="P90" s="66"/>
      <c r="Q90" s="66"/>
      <c r="R90" s="66"/>
      <c r="S90" s="66"/>
      <c r="T90" s="66"/>
    </row>
    <row r="91" spans="1:20" s="4" customFormat="1" x14ac:dyDescent="0.25">
      <c r="A91" s="24" t="s">
        <v>61</v>
      </c>
      <c r="B91" s="53">
        <v>902</v>
      </c>
      <c r="C91" s="48" t="s">
        <v>30</v>
      </c>
      <c r="D91" s="48" t="s">
        <v>26</v>
      </c>
      <c r="E91" s="48" t="s">
        <v>166</v>
      </c>
      <c r="F91" s="48" t="s">
        <v>62</v>
      </c>
      <c r="G91" s="119">
        <v>50</v>
      </c>
      <c r="H91" s="119">
        <v>50</v>
      </c>
      <c r="I91" s="119">
        <v>50</v>
      </c>
      <c r="J91" s="153"/>
      <c r="K91" s="139"/>
      <c r="L91" s="139"/>
      <c r="M91" s="66"/>
      <c r="N91" s="66"/>
      <c r="O91" s="66"/>
      <c r="P91" s="66"/>
      <c r="Q91" s="66"/>
      <c r="R91" s="66"/>
      <c r="S91" s="66"/>
      <c r="T91" s="66"/>
    </row>
    <row r="92" spans="1:20" s="4" customFormat="1" ht="25.5" x14ac:dyDescent="0.25">
      <c r="A92" s="24" t="s">
        <v>969</v>
      </c>
      <c r="B92" s="53">
        <v>902</v>
      </c>
      <c r="C92" s="48" t="s">
        <v>30</v>
      </c>
      <c r="D92" s="48" t="s">
        <v>26</v>
      </c>
      <c r="E92" s="48" t="s">
        <v>970</v>
      </c>
      <c r="F92" s="48"/>
      <c r="G92" s="119">
        <f>G93+G95</f>
        <v>58812.2</v>
      </c>
      <c r="H92" s="119">
        <f t="shared" ref="H92:I92" si="24">H93+H95</f>
        <v>0</v>
      </c>
      <c r="I92" s="119">
        <f t="shared" si="24"/>
        <v>0</v>
      </c>
      <c r="J92" s="153"/>
      <c r="K92" s="139"/>
      <c r="L92" s="139"/>
      <c r="M92" s="66"/>
      <c r="N92" s="66"/>
      <c r="O92" s="66"/>
      <c r="P92" s="66"/>
      <c r="Q92" s="66"/>
      <c r="R92" s="66"/>
      <c r="S92" s="66"/>
      <c r="T92" s="66"/>
    </row>
    <row r="93" spans="1:20" s="4" customFormat="1" ht="25.5" x14ac:dyDescent="0.25">
      <c r="A93" s="24" t="s">
        <v>971</v>
      </c>
      <c r="B93" s="53">
        <v>902</v>
      </c>
      <c r="C93" s="48" t="s">
        <v>30</v>
      </c>
      <c r="D93" s="48" t="s">
        <v>26</v>
      </c>
      <c r="E93" s="48" t="s">
        <v>972</v>
      </c>
      <c r="F93" s="48"/>
      <c r="G93" s="119">
        <f>G94</f>
        <v>52931</v>
      </c>
      <c r="H93" s="119">
        <v>0</v>
      </c>
      <c r="I93" s="119">
        <v>0</v>
      </c>
      <c r="J93" s="153"/>
      <c r="K93" s="139"/>
      <c r="L93" s="139"/>
      <c r="M93" s="66"/>
      <c r="N93" s="66"/>
      <c r="O93" s="66"/>
      <c r="P93" s="66"/>
      <c r="Q93" s="66"/>
      <c r="R93" s="66"/>
      <c r="S93" s="66"/>
      <c r="T93" s="66"/>
    </row>
    <row r="94" spans="1:20" s="4" customFormat="1" ht="25.5" x14ac:dyDescent="0.25">
      <c r="A94" s="24" t="s">
        <v>64</v>
      </c>
      <c r="B94" s="53">
        <v>902</v>
      </c>
      <c r="C94" s="48" t="s">
        <v>30</v>
      </c>
      <c r="D94" s="48" t="s">
        <v>26</v>
      </c>
      <c r="E94" s="48" t="s">
        <v>972</v>
      </c>
      <c r="F94" s="48" t="s">
        <v>65</v>
      </c>
      <c r="G94" s="119">
        <v>52931</v>
      </c>
      <c r="H94" s="119">
        <v>0</v>
      </c>
      <c r="I94" s="119">
        <v>0</v>
      </c>
      <c r="J94" s="153"/>
      <c r="K94" s="139"/>
      <c r="L94" s="139"/>
      <c r="M94" s="66"/>
      <c r="N94" s="66"/>
      <c r="O94" s="66"/>
      <c r="P94" s="66"/>
      <c r="Q94" s="66"/>
      <c r="R94" s="66"/>
      <c r="S94" s="66"/>
      <c r="T94" s="66"/>
    </row>
    <row r="95" spans="1:20" s="4" customFormat="1" ht="25.5" x14ac:dyDescent="0.25">
      <c r="A95" s="24" t="s">
        <v>995</v>
      </c>
      <c r="B95" s="53">
        <v>902</v>
      </c>
      <c r="C95" s="48" t="s">
        <v>30</v>
      </c>
      <c r="D95" s="48" t="s">
        <v>26</v>
      </c>
      <c r="E95" s="48" t="s">
        <v>994</v>
      </c>
      <c r="F95" s="48"/>
      <c r="G95" s="119">
        <f>G96</f>
        <v>5881.2</v>
      </c>
      <c r="H95" s="119">
        <f t="shared" ref="H95:I95" si="25">H96</f>
        <v>0</v>
      </c>
      <c r="I95" s="119">
        <f t="shared" si="25"/>
        <v>0</v>
      </c>
      <c r="J95" s="153"/>
      <c r="K95" s="139"/>
      <c r="L95" s="139"/>
      <c r="M95" s="66"/>
      <c r="N95" s="66"/>
      <c r="O95" s="66"/>
      <c r="P95" s="66"/>
      <c r="Q95" s="66"/>
      <c r="R95" s="66"/>
      <c r="S95" s="66"/>
      <c r="T95" s="66"/>
    </row>
    <row r="96" spans="1:20" s="4" customFormat="1" ht="25.5" x14ac:dyDescent="0.25">
      <c r="A96" s="24" t="s">
        <v>64</v>
      </c>
      <c r="B96" s="53">
        <v>902</v>
      </c>
      <c r="C96" s="48" t="s">
        <v>30</v>
      </c>
      <c r="D96" s="48" t="s">
        <v>26</v>
      </c>
      <c r="E96" s="48" t="s">
        <v>994</v>
      </c>
      <c r="F96" s="48" t="s">
        <v>65</v>
      </c>
      <c r="G96" s="119">
        <v>5881.2</v>
      </c>
      <c r="H96" s="119">
        <v>0</v>
      </c>
      <c r="I96" s="119">
        <v>0</v>
      </c>
      <c r="J96" s="153"/>
      <c r="K96" s="139"/>
      <c r="L96" s="139"/>
      <c r="M96" s="66"/>
      <c r="N96" s="66"/>
      <c r="O96" s="66"/>
      <c r="P96" s="66"/>
      <c r="Q96" s="66"/>
      <c r="R96" s="66"/>
      <c r="S96" s="66"/>
      <c r="T96" s="66"/>
    </row>
    <row r="97" spans="1:20" s="4" customFormat="1" ht="25.5" x14ac:dyDescent="0.25">
      <c r="A97" s="24" t="s">
        <v>736</v>
      </c>
      <c r="B97" s="53">
        <v>902</v>
      </c>
      <c r="C97" s="48" t="s">
        <v>30</v>
      </c>
      <c r="D97" s="48" t="s">
        <v>26</v>
      </c>
      <c r="E97" s="48" t="s">
        <v>346</v>
      </c>
      <c r="F97" s="48"/>
      <c r="G97" s="119">
        <f>G98+G100+G102</f>
        <v>3046.4</v>
      </c>
      <c r="H97" s="119">
        <f t="shared" ref="H97:I97" si="26">H98+H100+H102</f>
        <v>0</v>
      </c>
      <c r="I97" s="119">
        <f t="shared" si="26"/>
        <v>0</v>
      </c>
      <c r="J97" s="139"/>
      <c r="K97" s="139"/>
      <c r="L97" s="139"/>
      <c r="M97" s="66"/>
      <c r="N97" s="66"/>
      <c r="O97" s="66"/>
      <c r="P97" s="66"/>
      <c r="Q97" s="66"/>
      <c r="R97" s="66"/>
      <c r="S97" s="66"/>
      <c r="T97" s="66"/>
    </row>
    <row r="98" spans="1:20" s="4" customFormat="1" ht="25.5" x14ac:dyDescent="0.25">
      <c r="A98" s="24" t="s">
        <v>289</v>
      </c>
      <c r="B98" s="53">
        <v>902</v>
      </c>
      <c r="C98" s="48" t="s">
        <v>30</v>
      </c>
      <c r="D98" s="48" t="s">
        <v>26</v>
      </c>
      <c r="E98" s="48" t="s">
        <v>347</v>
      </c>
      <c r="F98" s="48"/>
      <c r="G98" s="119">
        <f t="shared" ref="G98:I98" si="27">G99</f>
        <v>1063</v>
      </c>
      <c r="H98" s="119">
        <f t="shared" si="27"/>
        <v>0</v>
      </c>
      <c r="I98" s="119">
        <f t="shared" si="27"/>
        <v>0</v>
      </c>
      <c r="J98" s="139"/>
      <c r="K98" s="139"/>
      <c r="L98" s="139"/>
      <c r="M98" s="66"/>
      <c r="N98" s="66"/>
      <c r="O98" s="66"/>
      <c r="P98" s="66"/>
      <c r="Q98" s="66"/>
      <c r="R98" s="66"/>
      <c r="S98" s="66"/>
      <c r="T98" s="66"/>
    </row>
    <row r="99" spans="1:20" s="4" customFormat="1" ht="25.5" x14ac:dyDescent="0.25">
      <c r="A99" s="24" t="s">
        <v>64</v>
      </c>
      <c r="B99" s="53">
        <v>902</v>
      </c>
      <c r="C99" s="48" t="s">
        <v>30</v>
      </c>
      <c r="D99" s="48" t="s">
        <v>26</v>
      </c>
      <c r="E99" s="48" t="s">
        <v>347</v>
      </c>
      <c r="F99" s="48" t="s">
        <v>65</v>
      </c>
      <c r="G99" s="119">
        <f>1000+34.3+28.7</f>
        <v>1063</v>
      </c>
      <c r="H99" s="119">
        <v>0</v>
      </c>
      <c r="I99" s="119">
        <v>0</v>
      </c>
      <c r="J99" s="139"/>
      <c r="K99" s="139"/>
      <c r="L99" s="139"/>
      <c r="M99" s="66"/>
      <c r="N99" s="66"/>
      <c r="O99" s="66"/>
      <c r="P99" s="66"/>
      <c r="Q99" s="66"/>
      <c r="R99" s="66"/>
      <c r="S99" s="66"/>
      <c r="T99" s="66"/>
    </row>
    <row r="100" spans="1:20" s="4" customFormat="1" x14ac:dyDescent="0.25">
      <c r="A100" s="24" t="s">
        <v>635</v>
      </c>
      <c r="B100" s="53">
        <v>902</v>
      </c>
      <c r="C100" s="48" t="s">
        <v>30</v>
      </c>
      <c r="D100" s="48" t="s">
        <v>26</v>
      </c>
      <c r="E100" s="48" t="s">
        <v>637</v>
      </c>
      <c r="F100" s="48"/>
      <c r="G100" s="119">
        <f>G101</f>
        <v>1870</v>
      </c>
      <c r="H100" s="119">
        <f t="shared" ref="H100:I100" si="28">H101</f>
        <v>0</v>
      </c>
      <c r="I100" s="119">
        <f t="shared" si="28"/>
        <v>0</v>
      </c>
      <c r="J100" s="139"/>
      <c r="K100" s="139"/>
      <c r="L100" s="139"/>
      <c r="M100" s="66"/>
      <c r="N100" s="66"/>
      <c r="O100" s="66"/>
      <c r="P100" s="66"/>
      <c r="Q100" s="66"/>
      <c r="R100" s="66"/>
      <c r="S100" s="66"/>
      <c r="T100" s="66"/>
    </row>
    <row r="101" spans="1:20" s="4" customFormat="1" ht="25.5" x14ac:dyDescent="0.25">
      <c r="A101" s="24" t="s">
        <v>64</v>
      </c>
      <c r="B101" s="53">
        <v>902</v>
      </c>
      <c r="C101" s="48" t="s">
        <v>30</v>
      </c>
      <c r="D101" s="48" t="s">
        <v>26</v>
      </c>
      <c r="E101" s="48" t="s">
        <v>637</v>
      </c>
      <c r="F101" s="48" t="s">
        <v>65</v>
      </c>
      <c r="G101" s="119">
        <v>1870</v>
      </c>
      <c r="H101" s="119">
        <v>0</v>
      </c>
      <c r="I101" s="119">
        <v>0</v>
      </c>
      <c r="J101" s="139"/>
      <c r="K101" s="139"/>
      <c r="L101" s="139"/>
      <c r="M101" s="66"/>
      <c r="N101" s="66"/>
      <c r="O101" s="66"/>
      <c r="P101" s="66"/>
      <c r="Q101" s="66"/>
      <c r="R101" s="66"/>
      <c r="S101" s="66"/>
      <c r="T101" s="66"/>
    </row>
    <row r="102" spans="1:20" s="4" customFormat="1" ht="38.25" x14ac:dyDescent="0.25">
      <c r="A102" s="24" t="s">
        <v>885</v>
      </c>
      <c r="B102" s="53">
        <v>902</v>
      </c>
      <c r="C102" s="48" t="s">
        <v>30</v>
      </c>
      <c r="D102" s="48" t="s">
        <v>26</v>
      </c>
      <c r="E102" s="48" t="s">
        <v>884</v>
      </c>
      <c r="F102" s="48"/>
      <c r="G102" s="119">
        <f>G103</f>
        <v>113.4</v>
      </c>
      <c r="H102" s="119">
        <f t="shared" ref="H102:I102" si="29">H103</f>
        <v>0</v>
      </c>
      <c r="I102" s="119">
        <f t="shared" si="29"/>
        <v>0</v>
      </c>
      <c r="J102" s="139"/>
      <c r="K102" s="139"/>
      <c r="L102" s="139"/>
      <c r="M102" s="66"/>
      <c r="N102" s="66"/>
      <c r="O102" s="66"/>
      <c r="P102" s="66"/>
      <c r="Q102" s="66"/>
      <c r="R102" s="66"/>
      <c r="S102" s="66"/>
      <c r="T102" s="66"/>
    </row>
    <row r="103" spans="1:20" s="4" customFormat="1" ht="25.5" x14ac:dyDescent="0.25">
      <c r="A103" s="24" t="s">
        <v>64</v>
      </c>
      <c r="B103" s="53">
        <v>902</v>
      </c>
      <c r="C103" s="48" t="s">
        <v>30</v>
      </c>
      <c r="D103" s="48" t="s">
        <v>26</v>
      </c>
      <c r="E103" s="48" t="s">
        <v>884</v>
      </c>
      <c r="F103" s="48" t="s">
        <v>65</v>
      </c>
      <c r="G103" s="119">
        <v>113.4</v>
      </c>
      <c r="H103" s="119">
        <v>0</v>
      </c>
      <c r="I103" s="119">
        <v>0</v>
      </c>
      <c r="J103" s="139"/>
      <c r="K103" s="139"/>
      <c r="L103" s="139"/>
      <c r="M103" s="66"/>
      <c r="N103" s="66"/>
      <c r="O103" s="66"/>
      <c r="P103" s="66"/>
      <c r="Q103" s="66"/>
      <c r="R103" s="66"/>
      <c r="S103" s="66"/>
      <c r="T103" s="66"/>
    </row>
    <row r="104" spans="1:20" s="4" customFormat="1" ht="25.5" x14ac:dyDescent="0.25">
      <c r="A104" s="24" t="s">
        <v>913</v>
      </c>
      <c r="B104" s="53">
        <v>902</v>
      </c>
      <c r="C104" s="48" t="s">
        <v>30</v>
      </c>
      <c r="D104" s="48" t="s">
        <v>26</v>
      </c>
      <c r="E104" s="48" t="s">
        <v>912</v>
      </c>
      <c r="F104" s="48"/>
      <c r="G104" s="119">
        <f>G105</f>
        <v>60663.1</v>
      </c>
      <c r="H104" s="119">
        <f t="shared" ref="H104:I105" si="30">H105</f>
        <v>43749.2</v>
      </c>
      <c r="I104" s="119">
        <f t="shared" si="30"/>
        <v>59248.200000000004</v>
      </c>
      <c r="J104" s="139"/>
      <c r="K104" s="139"/>
      <c r="L104" s="139"/>
      <c r="M104" s="66"/>
      <c r="N104" s="66"/>
      <c r="O104" s="66"/>
      <c r="P104" s="66"/>
      <c r="Q104" s="66"/>
      <c r="R104" s="66"/>
      <c r="S104" s="66"/>
      <c r="T104" s="66"/>
    </row>
    <row r="105" spans="1:20" s="4" customFormat="1" ht="38.25" x14ac:dyDescent="0.25">
      <c r="A105" s="24" t="s">
        <v>915</v>
      </c>
      <c r="B105" s="53">
        <v>902</v>
      </c>
      <c r="C105" s="48" t="s">
        <v>30</v>
      </c>
      <c r="D105" s="48" t="s">
        <v>26</v>
      </c>
      <c r="E105" s="48" t="s">
        <v>914</v>
      </c>
      <c r="F105" s="48"/>
      <c r="G105" s="119">
        <f>G106</f>
        <v>60663.1</v>
      </c>
      <c r="H105" s="119">
        <f t="shared" si="30"/>
        <v>43749.2</v>
      </c>
      <c r="I105" s="119">
        <f t="shared" si="30"/>
        <v>59248.200000000004</v>
      </c>
      <c r="J105" s="139"/>
      <c r="K105" s="139"/>
      <c r="L105" s="139"/>
      <c r="M105" s="66"/>
      <c r="N105" s="66"/>
      <c r="O105" s="66"/>
      <c r="P105" s="66"/>
      <c r="Q105" s="66"/>
      <c r="R105" s="66"/>
      <c r="S105" s="66"/>
      <c r="T105" s="66"/>
    </row>
    <row r="106" spans="1:20" s="4" customFormat="1" ht="25.5" x14ac:dyDescent="0.25">
      <c r="A106" s="24" t="s">
        <v>64</v>
      </c>
      <c r="B106" s="53">
        <v>902</v>
      </c>
      <c r="C106" s="48" t="s">
        <v>30</v>
      </c>
      <c r="D106" s="48" t="s">
        <v>26</v>
      </c>
      <c r="E106" s="48" t="s">
        <v>914</v>
      </c>
      <c r="F106" s="48" t="s">
        <v>65</v>
      </c>
      <c r="G106" s="119">
        <f>59999.9-2.9+600+66.1</f>
        <v>60663.1</v>
      </c>
      <c r="H106" s="119">
        <f>43700.6+48.6</f>
        <v>43749.2</v>
      </c>
      <c r="I106" s="119">
        <f>59182.4+65.8</f>
        <v>59248.200000000004</v>
      </c>
      <c r="J106" s="139"/>
      <c r="K106" s="139"/>
      <c r="L106" s="139"/>
      <c r="M106" s="66"/>
      <c r="N106" s="66"/>
      <c r="O106" s="66"/>
      <c r="P106" s="66"/>
      <c r="Q106" s="66"/>
      <c r="R106" s="66"/>
      <c r="S106" s="66"/>
      <c r="T106" s="66"/>
    </row>
    <row r="107" spans="1:20" s="4" customFormat="1" ht="25.5" x14ac:dyDescent="0.25">
      <c r="A107" s="24" t="s">
        <v>741</v>
      </c>
      <c r="B107" s="53">
        <v>902</v>
      </c>
      <c r="C107" s="48" t="s">
        <v>30</v>
      </c>
      <c r="D107" s="48" t="s">
        <v>26</v>
      </c>
      <c r="E107" s="48" t="s">
        <v>672</v>
      </c>
      <c r="F107" s="48"/>
      <c r="G107" s="119">
        <f>G108+G111</f>
        <v>11824.8</v>
      </c>
      <c r="H107" s="119">
        <f t="shared" ref="H107:I107" si="31">H108+H111</f>
        <v>6637.1</v>
      </c>
      <c r="I107" s="119">
        <f t="shared" si="31"/>
        <v>3937.4</v>
      </c>
      <c r="J107" s="139"/>
      <c r="K107" s="139"/>
      <c r="L107" s="139"/>
      <c r="M107" s="66"/>
      <c r="N107" s="66"/>
      <c r="O107" s="66"/>
      <c r="P107" s="66"/>
      <c r="Q107" s="66"/>
      <c r="R107" s="66"/>
      <c r="S107" s="66"/>
      <c r="T107" s="66"/>
    </row>
    <row r="108" spans="1:20" s="4" customFormat="1" ht="25.5" x14ac:dyDescent="0.25">
      <c r="A108" s="24" t="s">
        <v>742</v>
      </c>
      <c r="B108" s="53">
        <v>902</v>
      </c>
      <c r="C108" s="48" t="s">
        <v>30</v>
      </c>
      <c r="D108" s="48" t="s">
        <v>26</v>
      </c>
      <c r="E108" s="48" t="s">
        <v>673</v>
      </c>
      <c r="F108" s="48"/>
      <c r="G108" s="119">
        <f>G109</f>
        <v>6914.7</v>
      </c>
      <c r="H108" s="119">
        <f t="shared" ref="H108:I109" si="32">H109</f>
        <v>0</v>
      </c>
      <c r="I108" s="119">
        <f t="shared" si="32"/>
        <v>0</v>
      </c>
      <c r="J108" s="139"/>
      <c r="K108" s="139"/>
      <c r="L108" s="139"/>
      <c r="M108" s="66"/>
      <c r="N108" s="66"/>
      <c r="O108" s="66"/>
      <c r="P108" s="66"/>
      <c r="Q108" s="66"/>
      <c r="R108" s="66"/>
      <c r="S108" s="66"/>
      <c r="T108" s="66"/>
    </row>
    <row r="109" spans="1:20" s="4" customFormat="1" ht="25.5" x14ac:dyDescent="0.25">
      <c r="A109" s="24" t="s">
        <v>674</v>
      </c>
      <c r="B109" s="53">
        <v>902</v>
      </c>
      <c r="C109" s="48" t="s">
        <v>30</v>
      </c>
      <c r="D109" s="48" t="s">
        <v>26</v>
      </c>
      <c r="E109" s="48" t="s">
        <v>675</v>
      </c>
      <c r="F109" s="48"/>
      <c r="G109" s="119">
        <f>G110</f>
        <v>6914.7</v>
      </c>
      <c r="H109" s="119">
        <f t="shared" si="32"/>
        <v>0</v>
      </c>
      <c r="I109" s="119">
        <f t="shared" si="32"/>
        <v>0</v>
      </c>
      <c r="J109" s="139"/>
      <c r="K109" s="139"/>
      <c r="L109" s="139"/>
      <c r="M109" s="66"/>
      <c r="N109" s="66"/>
      <c r="O109" s="66"/>
      <c r="P109" s="66"/>
      <c r="Q109" s="66"/>
      <c r="R109" s="66"/>
      <c r="S109" s="66"/>
      <c r="T109" s="66"/>
    </row>
    <row r="110" spans="1:20" s="4" customFormat="1" ht="25.5" x14ac:dyDescent="0.25">
      <c r="A110" s="24" t="s">
        <v>64</v>
      </c>
      <c r="B110" s="53">
        <v>902</v>
      </c>
      <c r="C110" s="48" t="s">
        <v>30</v>
      </c>
      <c r="D110" s="48" t="s">
        <v>26</v>
      </c>
      <c r="E110" s="48" t="s">
        <v>675</v>
      </c>
      <c r="F110" s="48" t="s">
        <v>65</v>
      </c>
      <c r="G110" s="119">
        <f>6380+534.7</f>
        <v>6914.7</v>
      </c>
      <c r="H110" s="119">
        <v>0</v>
      </c>
      <c r="I110" s="119">
        <v>0</v>
      </c>
      <c r="J110" s="139"/>
      <c r="K110" s="139"/>
      <c r="L110" s="139"/>
      <c r="M110" s="66"/>
      <c r="N110" s="66"/>
      <c r="O110" s="66"/>
      <c r="P110" s="66"/>
      <c r="Q110" s="66"/>
      <c r="R110" s="66"/>
      <c r="S110" s="66"/>
      <c r="T110" s="66"/>
    </row>
    <row r="111" spans="1:20" s="4" customFormat="1" ht="25.5" x14ac:dyDescent="0.25">
      <c r="A111" s="24" t="s">
        <v>1024</v>
      </c>
      <c r="B111" s="53">
        <v>902</v>
      </c>
      <c r="C111" s="48" t="s">
        <v>30</v>
      </c>
      <c r="D111" s="48" t="s">
        <v>26</v>
      </c>
      <c r="E111" s="48" t="s">
        <v>990</v>
      </c>
      <c r="F111" s="48"/>
      <c r="G111" s="119">
        <f>G112</f>
        <v>4910.1000000000004</v>
      </c>
      <c r="H111" s="119">
        <f t="shared" ref="H111:I112" si="33">H112</f>
        <v>6637.1</v>
      </c>
      <c r="I111" s="119">
        <f t="shared" si="33"/>
        <v>3937.4</v>
      </c>
      <c r="J111" s="139"/>
      <c r="K111" s="139"/>
      <c r="L111" s="139"/>
      <c r="M111" s="66"/>
      <c r="N111" s="66"/>
      <c r="O111" s="66"/>
      <c r="P111" s="66"/>
      <c r="Q111" s="66"/>
      <c r="R111" s="66"/>
      <c r="S111" s="66"/>
      <c r="T111" s="66"/>
    </row>
    <row r="112" spans="1:20" s="4" customFormat="1" x14ac:dyDescent="0.25">
      <c r="A112" s="24" t="s">
        <v>993</v>
      </c>
      <c r="B112" s="53">
        <v>902</v>
      </c>
      <c r="C112" s="48" t="s">
        <v>30</v>
      </c>
      <c r="D112" s="48" t="s">
        <v>26</v>
      </c>
      <c r="E112" s="48" t="s">
        <v>992</v>
      </c>
      <c r="F112" s="48"/>
      <c r="G112" s="119">
        <f>G113</f>
        <v>4910.1000000000004</v>
      </c>
      <c r="H112" s="119">
        <f t="shared" si="33"/>
        <v>6637.1</v>
      </c>
      <c r="I112" s="119">
        <f t="shared" si="33"/>
        <v>3937.4</v>
      </c>
      <c r="J112" s="139"/>
      <c r="K112" s="139"/>
      <c r="L112" s="139"/>
      <c r="M112" s="66"/>
      <c r="N112" s="66"/>
      <c r="O112" s="66"/>
      <c r="P112" s="66"/>
      <c r="Q112" s="66"/>
      <c r="R112" s="66"/>
      <c r="S112" s="66"/>
      <c r="T112" s="66"/>
    </row>
    <row r="113" spans="1:20" s="4" customFormat="1" ht="25.5" x14ac:dyDescent="0.25">
      <c r="A113" s="24" t="s">
        <v>64</v>
      </c>
      <c r="B113" s="53">
        <v>902</v>
      </c>
      <c r="C113" s="48" t="s">
        <v>30</v>
      </c>
      <c r="D113" s="48" t="s">
        <v>26</v>
      </c>
      <c r="E113" s="48" t="s">
        <v>992</v>
      </c>
      <c r="F113" s="48" t="s">
        <v>65</v>
      </c>
      <c r="G113" s="119">
        <f>53.5+4856.6</f>
        <v>4910.1000000000004</v>
      </c>
      <c r="H113" s="119">
        <v>6637.1</v>
      </c>
      <c r="I113" s="119">
        <v>3937.4</v>
      </c>
      <c r="J113" s="139"/>
      <c r="K113" s="139"/>
      <c r="L113" s="139"/>
      <c r="M113" s="66"/>
      <c r="N113" s="66"/>
      <c r="O113" s="66"/>
      <c r="P113" s="66"/>
      <c r="Q113" s="66"/>
      <c r="R113" s="66"/>
      <c r="S113" s="66"/>
      <c r="T113" s="66"/>
    </row>
    <row r="114" spans="1:20" s="4" customFormat="1" ht="28.5" customHeight="1" x14ac:dyDescent="0.25">
      <c r="A114" s="24" t="s">
        <v>316</v>
      </c>
      <c r="B114" s="53">
        <v>902</v>
      </c>
      <c r="C114" s="48" t="s">
        <v>30</v>
      </c>
      <c r="D114" s="48" t="s">
        <v>26</v>
      </c>
      <c r="E114" s="48" t="s">
        <v>105</v>
      </c>
      <c r="F114" s="48"/>
      <c r="G114" s="119">
        <f>G115</f>
        <v>100.2</v>
      </c>
      <c r="H114" s="119">
        <f t="shared" ref="H114:I114" si="34">H115</f>
        <v>100.2</v>
      </c>
      <c r="I114" s="119">
        <f t="shared" si="34"/>
        <v>100.2</v>
      </c>
      <c r="J114" s="139"/>
      <c r="K114" s="139"/>
      <c r="L114" s="139"/>
      <c r="M114" s="66"/>
      <c r="N114" s="66"/>
      <c r="O114" s="66"/>
      <c r="P114" s="66"/>
      <c r="Q114" s="66"/>
      <c r="R114" s="66"/>
      <c r="S114" s="66"/>
      <c r="T114" s="66"/>
    </row>
    <row r="115" spans="1:20" s="4" customFormat="1" ht="40.5" customHeight="1" x14ac:dyDescent="0.25">
      <c r="A115" s="24" t="s">
        <v>244</v>
      </c>
      <c r="B115" s="53">
        <v>902</v>
      </c>
      <c r="C115" s="48" t="s">
        <v>30</v>
      </c>
      <c r="D115" s="48" t="s">
        <v>26</v>
      </c>
      <c r="E115" s="48" t="s">
        <v>245</v>
      </c>
      <c r="F115" s="48"/>
      <c r="G115" s="119">
        <f>G116</f>
        <v>100.2</v>
      </c>
      <c r="H115" s="119">
        <f>H116</f>
        <v>100.2</v>
      </c>
      <c r="I115" s="119">
        <f>I116</f>
        <v>100.2</v>
      </c>
      <c r="J115" s="139"/>
      <c r="K115" s="139"/>
      <c r="L115" s="139"/>
      <c r="M115" s="66"/>
      <c r="N115" s="66"/>
      <c r="O115" s="66"/>
      <c r="P115" s="66"/>
      <c r="Q115" s="66"/>
      <c r="R115" s="66"/>
      <c r="S115" s="66"/>
      <c r="T115" s="66"/>
    </row>
    <row r="116" spans="1:20" s="4" customFormat="1" ht="25.5" x14ac:dyDescent="0.25">
      <c r="A116" s="24" t="s">
        <v>64</v>
      </c>
      <c r="B116" s="53">
        <v>902</v>
      </c>
      <c r="C116" s="48" t="s">
        <v>30</v>
      </c>
      <c r="D116" s="48" t="s">
        <v>26</v>
      </c>
      <c r="E116" s="48" t="s">
        <v>245</v>
      </c>
      <c r="F116" s="48" t="s">
        <v>65</v>
      </c>
      <c r="G116" s="119">
        <v>100.2</v>
      </c>
      <c r="H116" s="119">
        <v>100.2</v>
      </c>
      <c r="I116" s="119">
        <v>100.2</v>
      </c>
      <c r="J116" s="139"/>
      <c r="K116" s="139"/>
      <c r="L116" s="139"/>
      <c r="M116" s="66"/>
      <c r="N116" s="66"/>
      <c r="O116" s="66"/>
      <c r="P116" s="66"/>
      <c r="Q116" s="66"/>
      <c r="R116" s="66"/>
      <c r="S116" s="66"/>
      <c r="T116" s="66"/>
    </row>
    <row r="117" spans="1:20" s="6" customFormat="1" ht="25.5" x14ac:dyDescent="0.25">
      <c r="A117" s="24" t="s">
        <v>164</v>
      </c>
      <c r="B117" s="53">
        <v>902</v>
      </c>
      <c r="C117" s="48" t="s">
        <v>30</v>
      </c>
      <c r="D117" s="48" t="s">
        <v>26</v>
      </c>
      <c r="E117" s="48" t="s">
        <v>101</v>
      </c>
      <c r="F117" s="48"/>
      <c r="G117" s="119">
        <f t="shared" ref="G117:I118" si="35">G118</f>
        <v>2342</v>
      </c>
      <c r="H117" s="119">
        <f t="shared" si="35"/>
        <v>2342</v>
      </c>
      <c r="I117" s="119">
        <f t="shared" si="35"/>
        <v>2342</v>
      </c>
      <c r="J117" s="239"/>
      <c r="K117" s="239"/>
      <c r="L117" s="239"/>
      <c r="M117" s="67"/>
      <c r="N117" s="67"/>
      <c r="O117" s="67"/>
      <c r="P117" s="67"/>
      <c r="Q117" s="67"/>
      <c r="R117" s="67"/>
      <c r="S117" s="67"/>
      <c r="T117" s="67"/>
    </row>
    <row r="118" spans="1:20" s="6" customFormat="1" ht="51" x14ac:dyDescent="0.25">
      <c r="A118" s="24" t="s">
        <v>329</v>
      </c>
      <c r="B118" s="53">
        <v>902</v>
      </c>
      <c r="C118" s="48" t="s">
        <v>30</v>
      </c>
      <c r="D118" s="48" t="s">
        <v>26</v>
      </c>
      <c r="E118" s="48" t="s">
        <v>232</v>
      </c>
      <c r="F118" s="48"/>
      <c r="G118" s="119">
        <f t="shared" si="35"/>
        <v>2342</v>
      </c>
      <c r="H118" s="119">
        <f t="shared" si="35"/>
        <v>2342</v>
      </c>
      <c r="I118" s="119">
        <f t="shared" si="35"/>
        <v>2342</v>
      </c>
      <c r="J118" s="207"/>
      <c r="K118" s="206"/>
      <c r="L118" s="206"/>
      <c r="M118" s="67"/>
      <c r="N118" s="67"/>
      <c r="O118" s="67"/>
      <c r="P118" s="67"/>
      <c r="Q118" s="67"/>
      <c r="R118" s="67"/>
      <c r="S118" s="67"/>
      <c r="T118" s="67"/>
    </row>
    <row r="119" spans="1:20" s="6" customFormat="1" ht="25.5" x14ac:dyDescent="0.25">
      <c r="A119" s="24" t="s">
        <v>64</v>
      </c>
      <c r="B119" s="53">
        <v>902</v>
      </c>
      <c r="C119" s="48" t="s">
        <v>30</v>
      </c>
      <c r="D119" s="48" t="s">
        <v>26</v>
      </c>
      <c r="E119" s="48" t="s">
        <v>232</v>
      </c>
      <c r="F119" s="48" t="s">
        <v>65</v>
      </c>
      <c r="G119" s="119">
        <v>2342</v>
      </c>
      <c r="H119" s="119">
        <v>2342</v>
      </c>
      <c r="I119" s="119">
        <v>2342</v>
      </c>
      <c r="J119" s="239"/>
      <c r="K119" s="239"/>
      <c r="L119" s="239"/>
      <c r="M119" s="67"/>
      <c r="N119" s="67"/>
      <c r="O119" s="67"/>
      <c r="P119" s="67"/>
      <c r="Q119" s="67"/>
      <c r="R119" s="67"/>
      <c r="S119" s="67"/>
      <c r="T119" s="67"/>
    </row>
    <row r="120" spans="1:20" s="6" customFormat="1" ht="25.5" x14ac:dyDescent="0.25">
      <c r="A120" s="24" t="s">
        <v>321</v>
      </c>
      <c r="B120" s="53">
        <v>902</v>
      </c>
      <c r="C120" s="48" t="s">
        <v>30</v>
      </c>
      <c r="D120" s="48" t="s">
        <v>26</v>
      </c>
      <c r="E120" s="48" t="s">
        <v>322</v>
      </c>
      <c r="F120" s="48"/>
      <c r="G120" s="119">
        <f>G123+G121</f>
        <v>4551</v>
      </c>
      <c r="H120" s="119">
        <f t="shared" ref="H120:I120" si="36">H123+H121</f>
        <v>2500</v>
      </c>
      <c r="I120" s="119">
        <f t="shared" si="36"/>
        <v>2500</v>
      </c>
      <c r="J120" s="239"/>
      <c r="K120" s="239"/>
      <c r="L120" s="239"/>
      <c r="M120" s="67"/>
      <c r="N120" s="67"/>
      <c r="O120" s="67"/>
      <c r="P120" s="67"/>
      <c r="Q120" s="67"/>
      <c r="R120" s="67"/>
      <c r="S120" s="67"/>
      <c r="T120" s="67"/>
    </row>
    <row r="121" spans="1:20" s="6" customFormat="1" x14ac:dyDescent="0.25">
      <c r="A121" s="24" t="s">
        <v>133</v>
      </c>
      <c r="B121" s="53">
        <v>902</v>
      </c>
      <c r="C121" s="48" t="s">
        <v>30</v>
      </c>
      <c r="D121" s="48" t="s">
        <v>26</v>
      </c>
      <c r="E121" s="48" t="s">
        <v>862</v>
      </c>
      <c r="F121" s="48"/>
      <c r="G121" s="119">
        <f>G122</f>
        <v>1290.7</v>
      </c>
      <c r="H121" s="119">
        <f t="shared" ref="H121:I121" si="37">H122</f>
        <v>0</v>
      </c>
      <c r="I121" s="119">
        <f t="shared" si="37"/>
        <v>0</v>
      </c>
      <c r="J121" s="239"/>
      <c r="K121" s="239"/>
      <c r="L121" s="239"/>
      <c r="M121" s="67"/>
      <c r="N121" s="67"/>
      <c r="O121" s="67"/>
      <c r="P121" s="67"/>
      <c r="Q121" s="67"/>
      <c r="R121" s="67"/>
      <c r="S121" s="67"/>
      <c r="T121" s="67"/>
    </row>
    <row r="122" spans="1:20" s="6" customFormat="1" ht="25.5" x14ac:dyDescent="0.25">
      <c r="A122" s="24" t="s">
        <v>64</v>
      </c>
      <c r="B122" s="53">
        <v>902</v>
      </c>
      <c r="C122" s="48" t="s">
        <v>30</v>
      </c>
      <c r="D122" s="48" t="s">
        <v>26</v>
      </c>
      <c r="E122" s="48" t="s">
        <v>862</v>
      </c>
      <c r="F122" s="48" t="s">
        <v>65</v>
      </c>
      <c r="G122" s="119">
        <f>533.8+146.3+444.2+166.4</f>
        <v>1290.7</v>
      </c>
      <c r="H122" s="119">
        <v>0</v>
      </c>
      <c r="I122" s="119">
        <v>0</v>
      </c>
      <c r="J122" s="239"/>
      <c r="K122" s="239"/>
      <c r="L122" s="239"/>
      <c r="M122" s="67"/>
      <c r="N122" s="67"/>
      <c r="O122" s="67"/>
      <c r="P122" s="67"/>
      <c r="Q122" s="67"/>
      <c r="R122" s="67"/>
      <c r="S122" s="67"/>
      <c r="T122" s="67"/>
    </row>
    <row r="123" spans="1:20" s="6" customFormat="1" ht="25.5" x14ac:dyDescent="0.25">
      <c r="A123" s="24" t="s">
        <v>871</v>
      </c>
      <c r="B123" s="53">
        <v>902</v>
      </c>
      <c r="C123" s="48" t="s">
        <v>30</v>
      </c>
      <c r="D123" s="48" t="s">
        <v>26</v>
      </c>
      <c r="E123" s="48" t="s">
        <v>870</v>
      </c>
      <c r="F123" s="48"/>
      <c r="G123" s="119">
        <f>G124</f>
        <v>3260.3</v>
      </c>
      <c r="H123" s="119">
        <f t="shared" ref="H123:I123" si="38">H124</f>
        <v>2500</v>
      </c>
      <c r="I123" s="119">
        <f t="shared" si="38"/>
        <v>2500</v>
      </c>
      <c r="J123" s="141"/>
      <c r="K123" s="239"/>
      <c r="L123" s="239"/>
      <c r="M123" s="67"/>
      <c r="N123" s="67"/>
      <c r="O123" s="67"/>
      <c r="P123" s="67"/>
      <c r="Q123" s="67"/>
      <c r="R123" s="67"/>
      <c r="S123" s="67"/>
      <c r="T123" s="67"/>
    </row>
    <row r="124" spans="1:20" s="6" customFormat="1" ht="25.5" x14ac:dyDescent="0.25">
      <c r="A124" s="24" t="s">
        <v>64</v>
      </c>
      <c r="B124" s="53">
        <v>902</v>
      </c>
      <c r="C124" s="48" t="s">
        <v>30</v>
      </c>
      <c r="D124" s="48" t="s">
        <v>26</v>
      </c>
      <c r="E124" s="48" t="s">
        <v>870</v>
      </c>
      <c r="F124" s="48" t="s">
        <v>65</v>
      </c>
      <c r="G124" s="119">
        <f>2500+760.3</f>
        <v>3260.3</v>
      </c>
      <c r="H124" s="119">
        <v>2500</v>
      </c>
      <c r="I124" s="119">
        <v>2500</v>
      </c>
      <c r="J124" s="239"/>
      <c r="K124" s="239"/>
      <c r="L124" s="239"/>
      <c r="M124" s="67"/>
      <c r="N124" s="67"/>
      <c r="O124" s="67"/>
      <c r="P124" s="67"/>
      <c r="Q124" s="67"/>
      <c r="R124" s="67"/>
      <c r="S124" s="67"/>
      <c r="T124" s="67"/>
    </row>
    <row r="125" spans="1:20" s="4" customFormat="1" x14ac:dyDescent="0.25">
      <c r="A125" s="24" t="s">
        <v>13</v>
      </c>
      <c r="B125" s="53">
        <v>902</v>
      </c>
      <c r="C125" s="48" t="s">
        <v>30</v>
      </c>
      <c r="D125" s="48" t="s">
        <v>27</v>
      </c>
      <c r="E125" s="48"/>
      <c r="F125" s="48"/>
      <c r="G125" s="119">
        <f>G126+G201+G204+G207</f>
        <v>2173107.3000000003</v>
      </c>
      <c r="H125" s="119">
        <f>H126+H201+H204+H207</f>
        <v>1768558.7</v>
      </c>
      <c r="I125" s="119">
        <f>I126+I201+I204+I207</f>
        <v>1800979.7</v>
      </c>
      <c r="J125" s="182"/>
      <c r="K125" s="182"/>
      <c r="L125" s="182"/>
      <c r="M125" s="66"/>
      <c r="N125" s="66"/>
      <c r="O125" s="66"/>
      <c r="P125" s="66"/>
      <c r="Q125" s="66"/>
      <c r="R125" s="66"/>
      <c r="S125" s="66"/>
      <c r="T125" s="66"/>
    </row>
    <row r="126" spans="1:20" s="4" customFormat="1" ht="25.5" x14ac:dyDescent="0.25">
      <c r="A126" s="24" t="s">
        <v>541</v>
      </c>
      <c r="B126" s="53">
        <v>902</v>
      </c>
      <c r="C126" s="48" t="s">
        <v>30</v>
      </c>
      <c r="D126" s="48" t="s">
        <v>27</v>
      </c>
      <c r="E126" s="48" t="s">
        <v>102</v>
      </c>
      <c r="F126" s="48"/>
      <c r="G126" s="119">
        <f>G127+G193</f>
        <v>2154171.3000000003</v>
      </c>
      <c r="H126" s="119">
        <f>H127+H193</f>
        <v>1764701.2</v>
      </c>
      <c r="I126" s="119">
        <f>I127+I193</f>
        <v>1797122.2</v>
      </c>
      <c r="J126" s="139"/>
      <c r="K126" s="139"/>
      <c r="L126" s="139"/>
      <c r="M126" s="66"/>
      <c r="N126" s="66"/>
      <c r="O126" s="66"/>
      <c r="P126" s="66"/>
      <c r="Q126" s="66"/>
      <c r="R126" s="66"/>
      <c r="S126" s="66"/>
      <c r="T126" s="66"/>
    </row>
    <row r="127" spans="1:20" s="4" customFormat="1" ht="27.75" customHeight="1" x14ac:dyDescent="0.25">
      <c r="A127" s="24" t="s">
        <v>734</v>
      </c>
      <c r="B127" s="53">
        <v>902</v>
      </c>
      <c r="C127" s="48" t="s">
        <v>30</v>
      </c>
      <c r="D127" s="48" t="s">
        <v>27</v>
      </c>
      <c r="E127" s="48" t="s">
        <v>106</v>
      </c>
      <c r="F127" s="48"/>
      <c r="G127" s="119">
        <f>G128+G150+G158+G163+G174+G177+G180+G183</f>
        <v>2102604.8000000003</v>
      </c>
      <c r="H127" s="119">
        <f>H128+H150+H158+H163+H174+H177+H180+H183</f>
        <v>1764701.2</v>
      </c>
      <c r="I127" s="119">
        <f>I128+I150+I158+I163+I174+I177+I180+I183</f>
        <v>1797122.2</v>
      </c>
      <c r="J127" s="139"/>
      <c r="K127" s="139"/>
      <c r="L127" s="139"/>
      <c r="M127" s="66"/>
      <c r="N127" s="66"/>
      <c r="O127" s="66"/>
      <c r="P127" s="66"/>
      <c r="Q127" s="66"/>
      <c r="R127" s="66"/>
      <c r="S127" s="66"/>
      <c r="T127" s="66"/>
    </row>
    <row r="128" spans="1:20" s="4" customFormat="1" ht="30" customHeight="1" x14ac:dyDescent="0.25">
      <c r="A128" s="24" t="s">
        <v>737</v>
      </c>
      <c r="B128" s="53">
        <v>902</v>
      </c>
      <c r="C128" s="48" t="s">
        <v>30</v>
      </c>
      <c r="D128" s="48" t="s">
        <v>27</v>
      </c>
      <c r="E128" s="48" t="s">
        <v>107</v>
      </c>
      <c r="F128" s="48"/>
      <c r="G128" s="119">
        <f>G129+G140+G144+G148</f>
        <v>1150476.8999999999</v>
      </c>
      <c r="H128" s="119">
        <f t="shared" ref="H128:I128" si="39">H129+H140+H144+H148</f>
        <v>1434946.2999999998</v>
      </c>
      <c r="I128" s="119">
        <f t="shared" si="39"/>
        <v>1506311.4</v>
      </c>
      <c r="J128" s="139"/>
      <c r="K128" s="139"/>
      <c r="L128" s="139"/>
      <c r="M128" s="66"/>
      <c r="N128" s="66"/>
      <c r="O128" s="66"/>
      <c r="P128" s="66"/>
      <c r="Q128" s="66"/>
      <c r="R128" s="66"/>
      <c r="S128" s="66"/>
      <c r="T128" s="66"/>
    </row>
    <row r="129" spans="1:20" s="4" customFormat="1" ht="27.75" customHeight="1" x14ac:dyDescent="0.25">
      <c r="A129" s="24" t="s">
        <v>242</v>
      </c>
      <c r="B129" s="53">
        <v>902</v>
      </c>
      <c r="C129" s="48" t="s">
        <v>30</v>
      </c>
      <c r="D129" s="48" t="s">
        <v>27</v>
      </c>
      <c r="E129" s="48" t="s">
        <v>246</v>
      </c>
      <c r="F129" s="48"/>
      <c r="G129" s="119">
        <f>G130+G132+G134+G138+G136</f>
        <v>240732.9</v>
      </c>
      <c r="H129" s="119">
        <f t="shared" ref="H129:I129" si="40">H130+H132+H134+H138+H136</f>
        <v>266320.19999999995</v>
      </c>
      <c r="I129" s="119">
        <f t="shared" si="40"/>
        <v>268753.89999999997</v>
      </c>
      <c r="J129" s="139"/>
      <c r="K129" s="139"/>
      <c r="L129" s="139"/>
      <c r="M129" s="66"/>
      <c r="N129" s="66"/>
      <c r="O129" s="66"/>
      <c r="P129" s="66"/>
      <c r="Q129" s="66"/>
      <c r="R129" s="66"/>
      <c r="S129" s="66"/>
      <c r="T129" s="66"/>
    </row>
    <row r="130" spans="1:20" s="4" customFormat="1" ht="38.25" x14ac:dyDescent="0.25">
      <c r="A130" s="24" t="s">
        <v>354</v>
      </c>
      <c r="B130" s="53">
        <v>902</v>
      </c>
      <c r="C130" s="48" t="s">
        <v>30</v>
      </c>
      <c r="D130" s="48" t="s">
        <v>27</v>
      </c>
      <c r="E130" s="48" t="s">
        <v>364</v>
      </c>
      <c r="F130" s="48"/>
      <c r="G130" s="119">
        <f>G131</f>
        <v>113231.7</v>
      </c>
      <c r="H130" s="119">
        <f>H131</f>
        <v>124905.4</v>
      </c>
      <c r="I130" s="119">
        <f>I131</f>
        <v>124905.4</v>
      </c>
      <c r="J130" s="139"/>
      <c r="K130" s="139"/>
      <c r="L130" s="139"/>
      <c r="M130" s="66"/>
      <c r="N130" s="66"/>
      <c r="O130" s="66"/>
      <c r="P130" s="66"/>
      <c r="Q130" s="66"/>
      <c r="R130" s="66"/>
      <c r="S130" s="66"/>
      <c r="T130" s="66"/>
    </row>
    <row r="131" spans="1:20" s="4" customFormat="1" ht="31.5" customHeight="1" x14ac:dyDescent="0.25">
      <c r="A131" s="24" t="s">
        <v>64</v>
      </c>
      <c r="B131" s="53">
        <v>902</v>
      </c>
      <c r="C131" s="48" t="s">
        <v>30</v>
      </c>
      <c r="D131" s="48" t="s">
        <v>27</v>
      </c>
      <c r="E131" s="48" t="s">
        <v>364</v>
      </c>
      <c r="F131" s="48" t="s">
        <v>65</v>
      </c>
      <c r="G131" s="119">
        <f>124905.4-1529.5-220.4-6600.1-33.7-3290</f>
        <v>113231.7</v>
      </c>
      <c r="H131" s="119">
        <v>124905.4</v>
      </c>
      <c r="I131" s="119">
        <v>124905.4</v>
      </c>
      <c r="J131" s="139"/>
      <c r="K131" s="139"/>
      <c r="L131" s="184"/>
      <c r="M131" s="66"/>
      <c r="N131" s="66"/>
      <c r="O131" s="66"/>
      <c r="P131" s="66"/>
      <c r="Q131" s="66"/>
      <c r="R131" s="66"/>
      <c r="S131" s="66"/>
      <c r="T131" s="66"/>
    </row>
    <row r="132" spans="1:20" s="4" customFormat="1" ht="31.5" customHeight="1" x14ac:dyDescent="0.25">
      <c r="A132" s="24" t="s">
        <v>361</v>
      </c>
      <c r="B132" s="53">
        <v>902</v>
      </c>
      <c r="C132" s="48" t="s">
        <v>30</v>
      </c>
      <c r="D132" s="48" t="s">
        <v>27</v>
      </c>
      <c r="E132" s="48" t="s">
        <v>365</v>
      </c>
      <c r="F132" s="48"/>
      <c r="G132" s="119">
        <f>G133</f>
        <v>45252.3</v>
      </c>
      <c r="H132" s="119">
        <f>H133</f>
        <v>58923.7</v>
      </c>
      <c r="I132" s="119">
        <f>I133</f>
        <v>61357.4</v>
      </c>
      <c r="J132" s="139"/>
      <c r="K132" s="139"/>
      <c r="L132" s="139"/>
      <c r="M132" s="66"/>
      <c r="N132" s="66"/>
      <c r="O132" s="66"/>
      <c r="P132" s="66"/>
      <c r="Q132" s="66"/>
      <c r="R132" s="66"/>
      <c r="S132" s="66"/>
      <c r="T132" s="66"/>
    </row>
    <row r="133" spans="1:20" s="4" customFormat="1" ht="31.5" customHeight="1" x14ac:dyDescent="0.25">
      <c r="A133" s="24" t="s">
        <v>64</v>
      </c>
      <c r="B133" s="53">
        <v>902</v>
      </c>
      <c r="C133" s="48" t="s">
        <v>30</v>
      </c>
      <c r="D133" s="48" t="s">
        <v>27</v>
      </c>
      <c r="E133" s="48" t="s">
        <v>365</v>
      </c>
      <c r="F133" s="48" t="s">
        <v>65</v>
      </c>
      <c r="G133" s="119">
        <f>56584.5-731.2+1681.2-366.9-232.2-117.3-1331.5-777.1-171-9286.2</f>
        <v>45252.3</v>
      </c>
      <c r="H133" s="119">
        <v>58923.7</v>
      </c>
      <c r="I133" s="119">
        <v>61357.4</v>
      </c>
      <c r="J133" s="185"/>
      <c r="K133" s="139"/>
      <c r="L133" s="139"/>
      <c r="M133" s="66"/>
      <c r="N133" s="66"/>
      <c r="O133" s="66"/>
      <c r="P133" s="66"/>
      <c r="Q133" s="66"/>
      <c r="R133" s="66"/>
      <c r="S133" s="66"/>
      <c r="T133" s="66"/>
    </row>
    <row r="134" spans="1:20" s="4" customFormat="1" ht="31.5" customHeight="1" x14ac:dyDescent="0.25">
      <c r="A134" s="24" t="s">
        <v>356</v>
      </c>
      <c r="B134" s="53">
        <v>902</v>
      </c>
      <c r="C134" s="48" t="s">
        <v>30</v>
      </c>
      <c r="D134" s="48" t="s">
        <v>27</v>
      </c>
      <c r="E134" s="48" t="s">
        <v>366</v>
      </c>
      <c r="F134" s="48"/>
      <c r="G134" s="119">
        <f>G135</f>
        <v>6797.8</v>
      </c>
      <c r="H134" s="119">
        <f>H135</f>
        <v>6797.8</v>
      </c>
      <c r="I134" s="119">
        <f>I135</f>
        <v>6797.8</v>
      </c>
      <c r="J134" s="139"/>
      <c r="K134" s="139"/>
      <c r="L134" s="139"/>
      <c r="M134" s="66"/>
      <c r="N134" s="66"/>
      <c r="O134" s="66"/>
      <c r="P134" s="66"/>
      <c r="Q134" s="66"/>
      <c r="R134" s="66"/>
      <c r="S134" s="66"/>
      <c r="T134" s="66"/>
    </row>
    <row r="135" spans="1:20" s="4" customFormat="1" ht="31.5" customHeight="1" x14ac:dyDescent="0.25">
      <c r="A135" s="24" t="s">
        <v>64</v>
      </c>
      <c r="B135" s="53">
        <v>902</v>
      </c>
      <c r="C135" s="48" t="s">
        <v>30</v>
      </c>
      <c r="D135" s="48" t="s">
        <v>27</v>
      </c>
      <c r="E135" s="48" t="s">
        <v>366</v>
      </c>
      <c r="F135" s="48" t="s">
        <v>65</v>
      </c>
      <c r="G135" s="119">
        <v>6797.8</v>
      </c>
      <c r="H135" s="119">
        <v>6797.8</v>
      </c>
      <c r="I135" s="119">
        <v>6797.8</v>
      </c>
      <c r="J135" s="139"/>
      <c r="K135" s="139"/>
      <c r="L135" s="139"/>
      <c r="M135" s="66"/>
      <c r="N135" s="66"/>
      <c r="O135" s="66"/>
      <c r="P135" s="66"/>
      <c r="Q135" s="66"/>
      <c r="R135" s="66"/>
      <c r="S135" s="66"/>
      <c r="T135" s="66"/>
    </row>
    <row r="136" spans="1:20" s="4" customFormat="1" ht="31.5" customHeight="1" x14ac:dyDescent="0.25">
      <c r="A136" s="24" t="s">
        <v>698</v>
      </c>
      <c r="B136" s="53">
        <v>902</v>
      </c>
      <c r="C136" s="48" t="s">
        <v>30</v>
      </c>
      <c r="D136" s="48" t="s">
        <v>27</v>
      </c>
      <c r="E136" s="48" t="s">
        <v>700</v>
      </c>
      <c r="F136" s="48"/>
      <c r="G136" s="119">
        <f>G137</f>
        <v>53451.5</v>
      </c>
      <c r="H136" s="119">
        <f t="shared" ref="H136:I136" si="41">H137</f>
        <v>51125.5</v>
      </c>
      <c r="I136" s="119">
        <f t="shared" si="41"/>
        <v>51125.5</v>
      </c>
      <c r="J136" s="139"/>
      <c r="K136" s="139"/>
      <c r="L136" s="139"/>
      <c r="M136" s="66"/>
      <c r="N136" s="66"/>
      <c r="O136" s="66"/>
      <c r="P136" s="66"/>
      <c r="Q136" s="66"/>
      <c r="R136" s="66"/>
      <c r="S136" s="66"/>
      <c r="T136" s="66"/>
    </row>
    <row r="137" spans="1:20" s="4" customFormat="1" ht="31.5" customHeight="1" x14ac:dyDescent="0.25">
      <c r="A137" s="24" t="s">
        <v>64</v>
      </c>
      <c r="B137" s="53">
        <v>902</v>
      </c>
      <c r="C137" s="48" t="s">
        <v>30</v>
      </c>
      <c r="D137" s="48" t="s">
        <v>27</v>
      </c>
      <c r="E137" s="48" t="s">
        <v>700</v>
      </c>
      <c r="F137" s="48" t="s">
        <v>65</v>
      </c>
      <c r="G137" s="119">
        <f>51125.5+162.8+2163.2</f>
        <v>53451.5</v>
      </c>
      <c r="H137" s="119">
        <v>51125.5</v>
      </c>
      <c r="I137" s="119">
        <v>51125.5</v>
      </c>
      <c r="J137" s="139"/>
      <c r="K137" s="139"/>
      <c r="L137" s="139"/>
      <c r="M137" s="66"/>
      <c r="N137" s="66"/>
      <c r="O137" s="66"/>
      <c r="P137" s="66"/>
      <c r="Q137" s="66"/>
      <c r="R137" s="66"/>
      <c r="S137" s="66"/>
      <c r="T137" s="66"/>
    </row>
    <row r="138" spans="1:20" s="4" customFormat="1" ht="31.5" customHeight="1" x14ac:dyDescent="0.25">
      <c r="A138" s="24" t="s">
        <v>357</v>
      </c>
      <c r="B138" s="53">
        <v>902</v>
      </c>
      <c r="C138" s="48" t="s">
        <v>30</v>
      </c>
      <c r="D138" s="48" t="s">
        <v>27</v>
      </c>
      <c r="E138" s="48" t="s">
        <v>367</v>
      </c>
      <c r="F138" s="48"/>
      <c r="G138" s="119">
        <f>G139</f>
        <v>21999.600000000002</v>
      </c>
      <c r="H138" s="119">
        <f>H139</f>
        <v>24567.8</v>
      </c>
      <c r="I138" s="119">
        <f>I139</f>
        <v>24567.8</v>
      </c>
      <c r="J138" s="139"/>
      <c r="K138" s="139"/>
      <c r="L138" s="139"/>
      <c r="M138" s="66"/>
      <c r="N138" s="66"/>
      <c r="O138" s="66"/>
      <c r="P138" s="66"/>
      <c r="Q138" s="66"/>
      <c r="R138" s="66"/>
      <c r="S138" s="66"/>
      <c r="T138" s="66"/>
    </row>
    <row r="139" spans="1:20" s="4" customFormat="1" ht="31.5" customHeight="1" x14ac:dyDescent="0.25">
      <c r="A139" s="24" t="s">
        <v>64</v>
      </c>
      <c r="B139" s="53">
        <v>902</v>
      </c>
      <c r="C139" s="48" t="s">
        <v>30</v>
      </c>
      <c r="D139" s="48" t="s">
        <v>27</v>
      </c>
      <c r="E139" s="48" t="s">
        <v>367</v>
      </c>
      <c r="F139" s="48" t="s">
        <v>65</v>
      </c>
      <c r="G139" s="119">
        <f>24822.5-1681.2-410-300-93-56.8-53.5-137.8-199.8-232.6-162.8+667.5-162.9</f>
        <v>21999.600000000002</v>
      </c>
      <c r="H139" s="119">
        <v>24567.8</v>
      </c>
      <c r="I139" s="119">
        <f>24567.8-70+70</f>
        <v>24567.8</v>
      </c>
      <c r="J139" s="139"/>
      <c r="K139" s="139"/>
      <c r="L139" s="139"/>
      <c r="M139" s="66"/>
      <c r="N139" s="66"/>
      <c r="O139" s="66"/>
      <c r="P139" s="66"/>
      <c r="Q139" s="66"/>
      <c r="R139" s="66"/>
      <c r="S139" s="66"/>
      <c r="T139" s="66"/>
    </row>
    <row r="140" spans="1:20" s="4" customFormat="1" ht="17.25" customHeight="1" x14ac:dyDescent="0.25">
      <c r="A140" s="24" t="s">
        <v>240</v>
      </c>
      <c r="B140" s="53">
        <v>902</v>
      </c>
      <c r="C140" s="48" t="s">
        <v>30</v>
      </c>
      <c r="D140" s="48" t="s">
        <v>27</v>
      </c>
      <c r="E140" s="48" t="s">
        <v>247</v>
      </c>
      <c r="F140" s="48"/>
      <c r="G140" s="119">
        <f>G141+G142+G143</f>
        <v>6183.4</v>
      </c>
      <c r="H140" s="119">
        <f>H141+H142+H143</f>
        <v>6177.8000000000011</v>
      </c>
      <c r="I140" s="119">
        <f>I141+I142+I143</f>
        <v>6221.2000000000007</v>
      </c>
      <c r="J140" s="139"/>
      <c r="K140" s="139"/>
      <c r="L140" s="139"/>
      <c r="M140" s="66"/>
      <c r="N140" s="66"/>
      <c r="O140" s="66"/>
      <c r="P140" s="66"/>
      <c r="Q140" s="66"/>
      <c r="R140" s="66"/>
      <c r="S140" s="66"/>
      <c r="T140" s="66"/>
    </row>
    <row r="141" spans="1:20" s="4" customFormat="1" ht="43.5" customHeight="1" x14ac:dyDescent="0.25">
      <c r="A141" s="24" t="s">
        <v>225</v>
      </c>
      <c r="B141" s="53">
        <v>902</v>
      </c>
      <c r="C141" s="48" t="s">
        <v>30</v>
      </c>
      <c r="D141" s="48" t="s">
        <v>27</v>
      </c>
      <c r="E141" s="48" t="s">
        <v>247</v>
      </c>
      <c r="F141" s="48" t="s">
        <v>66</v>
      </c>
      <c r="G141" s="119">
        <f>2805.2-168+7</f>
        <v>2644.2</v>
      </c>
      <c r="H141" s="119">
        <v>2805.3</v>
      </c>
      <c r="I141" s="119">
        <v>2805.3</v>
      </c>
      <c r="J141" s="139"/>
      <c r="K141" s="139"/>
      <c r="L141" s="139"/>
      <c r="M141" s="66"/>
      <c r="N141" s="66"/>
      <c r="O141" s="66"/>
      <c r="P141" s="66"/>
      <c r="Q141" s="66"/>
      <c r="R141" s="66"/>
      <c r="S141" s="66"/>
      <c r="T141" s="66"/>
    </row>
    <row r="142" spans="1:20" s="4" customFormat="1" ht="29.25" customHeight="1" x14ac:dyDescent="0.25">
      <c r="A142" s="24" t="s">
        <v>226</v>
      </c>
      <c r="B142" s="53">
        <v>902</v>
      </c>
      <c r="C142" s="48" t="s">
        <v>30</v>
      </c>
      <c r="D142" s="48" t="s">
        <v>27</v>
      </c>
      <c r="E142" s="48" t="s">
        <v>247</v>
      </c>
      <c r="F142" s="48" t="s">
        <v>59</v>
      </c>
      <c r="G142" s="119">
        <f>3374.1+168-7</f>
        <v>3535.1</v>
      </c>
      <c r="H142" s="119">
        <v>3368.4</v>
      </c>
      <c r="I142" s="119">
        <v>3411.8</v>
      </c>
      <c r="J142" s="139"/>
      <c r="K142" s="139"/>
      <c r="L142" s="139"/>
      <c r="M142" s="66"/>
      <c r="N142" s="66"/>
      <c r="O142" s="66"/>
      <c r="P142" s="66"/>
      <c r="Q142" s="66"/>
      <c r="R142" s="66"/>
      <c r="S142" s="66"/>
      <c r="T142" s="66"/>
    </row>
    <row r="143" spans="1:20" s="4" customFormat="1" x14ac:dyDescent="0.25">
      <c r="A143" s="24" t="s">
        <v>61</v>
      </c>
      <c r="B143" s="53">
        <v>902</v>
      </c>
      <c r="C143" s="48" t="s">
        <v>30</v>
      </c>
      <c r="D143" s="48" t="s">
        <v>27</v>
      </c>
      <c r="E143" s="48" t="s">
        <v>247</v>
      </c>
      <c r="F143" s="48" t="s">
        <v>62</v>
      </c>
      <c r="G143" s="119">
        <v>4.0999999999999996</v>
      </c>
      <c r="H143" s="119">
        <v>4.0999999999999996</v>
      </c>
      <c r="I143" s="119">
        <v>4.0999999999999996</v>
      </c>
      <c r="J143" s="139"/>
      <c r="K143" s="139"/>
      <c r="L143" s="139"/>
      <c r="M143" s="66"/>
      <c r="N143" s="66"/>
      <c r="O143" s="66"/>
      <c r="P143" s="66"/>
      <c r="Q143" s="66"/>
      <c r="R143" s="66"/>
      <c r="S143" s="66"/>
      <c r="T143" s="66"/>
    </row>
    <row r="144" spans="1:20" s="4" customFormat="1" ht="76.5" x14ac:dyDescent="0.25">
      <c r="A144" s="24" t="s">
        <v>300</v>
      </c>
      <c r="B144" s="53">
        <v>902</v>
      </c>
      <c r="C144" s="48" t="s">
        <v>30</v>
      </c>
      <c r="D144" s="48" t="s">
        <v>27</v>
      </c>
      <c r="E144" s="48" t="s">
        <v>167</v>
      </c>
      <c r="F144" s="48"/>
      <c r="G144" s="119">
        <f>G145+G146+G147</f>
        <v>896013.9</v>
      </c>
      <c r="H144" s="119">
        <f>H145+H146+H147</f>
        <v>1155106.8999999999</v>
      </c>
      <c r="I144" s="119">
        <f>I145+I146+I147</f>
        <v>1223994.8999999999</v>
      </c>
      <c r="J144" s="139"/>
      <c r="K144" s="139"/>
      <c r="L144" s="139"/>
      <c r="M144" s="66"/>
      <c r="N144" s="66"/>
      <c r="O144" s="66"/>
      <c r="P144" s="66"/>
      <c r="Q144" s="66"/>
      <c r="R144" s="66"/>
      <c r="S144" s="66"/>
      <c r="T144" s="66"/>
    </row>
    <row r="145" spans="1:20" s="4" customFormat="1" ht="38.25" x14ac:dyDescent="0.25">
      <c r="A145" s="24" t="s">
        <v>225</v>
      </c>
      <c r="B145" s="53">
        <v>902</v>
      </c>
      <c r="C145" s="48" t="s">
        <v>30</v>
      </c>
      <c r="D145" s="48" t="s">
        <v>27</v>
      </c>
      <c r="E145" s="48" t="s">
        <v>167</v>
      </c>
      <c r="F145" s="48" t="s">
        <v>66</v>
      </c>
      <c r="G145" s="119">
        <f>27825+1.1</f>
        <v>27826.1</v>
      </c>
      <c r="H145" s="119">
        <v>27825</v>
      </c>
      <c r="I145" s="119">
        <v>27825</v>
      </c>
      <c r="J145" s="139"/>
      <c r="K145" s="139"/>
      <c r="L145" s="139"/>
      <c r="M145" s="66"/>
      <c r="N145" s="66"/>
      <c r="O145" s="66"/>
      <c r="P145" s="66"/>
      <c r="Q145" s="66"/>
      <c r="R145" s="66"/>
      <c r="S145" s="66"/>
      <c r="T145" s="66"/>
    </row>
    <row r="146" spans="1:20" s="4" customFormat="1" ht="25.5" x14ac:dyDescent="0.25">
      <c r="A146" s="24" t="s">
        <v>226</v>
      </c>
      <c r="B146" s="53">
        <v>902</v>
      </c>
      <c r="C146" s="48" t="s">
        <v>30</v>
      </c>
      <c r="D146" s="48" t="s">
        <v>27</v>
      </c>
      <c r="E146" s="48" t="s">
        <v>167</v>
      </c>
      <c r="F146" s="48" t="s">
        <v>59</v>
      </c>
      <c r="G146" s="119">
        <f>98-1.1</f>
        <v>96.9</v>
      </c>
      <c r="H146" s="119">
        <v>98</v>
      </c>
      <c r="I146" s="119">
        <v>98</v>
      </c>
      <c r="J146" s="139"/>
      <c r="K146" s="139"/>
      <c r="L146" s="139"/>
      <c r="M146" s="66"/>
      <c r="N146" s="66"/>
      <c r="O146" s="66"/>
      <c r="P146" s="66"/>
      <c r="Q146" s="66"/>
      <c r="R146" s="66"/>
      <c r="S146" s="66"/>
      <c r="T146" s="66"/>
    </row>
    <row r="147" spans="1:20" s="4" customFormat="1" ht="25.5" x14ac:dyDescent="0.25">
      <c r="A147" s="24" t="s">
        <v>64</v>
      </c>
      <c r="B147" s="53">
        <v>902</v>
      </c>
      <c r="C147" s="48" t="s">
        <v>30</v>
      </c>
      <c r="D147" s="48" t="s">
        <v>27</v>
      </c>
      <c r="E147" s="48" t="s">
        <v>167</v>
      </c>
      <c r="F147" s="48" t="s">
        <v>65</v>
      </c>
      <c r="G147" s="119">
        <v>868090.9</v>
      </c>
      <c r="H147" s="119">
        <v>1127183.8999999999</v>
      </c>
      <c r="I147" s="119">
        <v>1196071.8999999999</v>
      </c>
      <c r="J147" s="139"/>
      <c r="K147" s="139"/>
      <c r="L147" s="139"/>
      <c r="M147" s="66"/>
      <c r="N147" s="66"/>
      <c r="O147" s="66"/>
      <c r="P147" s="66"/>
      <c r="Q147" s="66"/>
      <c r="R147" s="66"/>
      <c r="S147" s="66"/>
      <c r="T147" s="66"/>
    </row>
    <row r="148" spans="1:20" s="4" customFormat="1" ht="63.75" x14ac:dyDescent="0.25">
      <c r="A148" s="24" t="s">
        <v>301</v>
      </c>
      <c r="B148" s="53">
        <v>902</v>
      </c>
      <c r="C148" s="48" t="s">
        <v>30</v>
      </c>
      <c r="D148" s="48" t="s">
        <v>27</v>
      </c>
      <c r="E148" s="48" t="s">
        <v>168</v>
      </c>
      <c r="F148" s="48"/>
      <c r="G148" s="119">
        <f>G149</f>
        <v>7546.7</v>
      </c>
      <c r="H148" s="119">
        <f>H149</f>
        <v>7341.4</v>
      </c>
      <c r="I148" s="119">
        <f>I149</f>
        <v>7341.4</v>
      </c>
      <c r="J148" s="139"/>
      <c r="K148" s="139"/>
      <c r="L148" s="139"/>
      <c r="M148" s="66"/>
      <c r="N148" s="66"/>
      <c r="O148" s="66"/>
      <c r="P148" s="66"/>
      <c r="Q148" s="66"/>
      <c r="R148" s="66"/>
      <c r="S148" s="66"/>
      <c r="T148" s="66"/>
    </row>
    <row r="149" spans="1:20" s="4" customFormat="1" ht="25.5" x14ac:dyDescent="0.25">
      <c r="A149" s="24" t="s">
        <v>64</v>
      </c>
      <c r="B149" s="53">
        <v>902</v>
      </c>
      <c r="C149" s="48" t="s">
        <v>30</v>
      </c>
      <c r="D149" s="48" t="s">
        <v>27</v>
      </c>
      <c r="E149" s="48" t="s">
        <v>168</v>
      </c>
      <c r="F149" s="48" t="s">
        <v>65</v>
      </c>
      <c r="G149" s="119">
        <v>7546.7</v>
      </c>
      <c r="H149" s="119">
        <v>7341.4</v>
      </c>
      <c r="I149" s="119">
        <v>7341.4</v>
      </c>
      <c r="J149" s="139"/>
      <c r="K149" s="139"/>
      <c r="L149" s="139"/>
      <c r="M149" s="66"/>
      <c r="N149" s="66"/>
      <c r="O149" s="66"/>
      <c r="P149" s="66"/>
      <c r="Q149" s="66"/>
      <c r="R149" s="66"/>
      <c r="S149" s="66"/>
      <c r="T149" s="66"/>
    </row>
    <row r="150" spans="1:20" s="4" customFormat="1" ht="30.75" customHeight="1" x14ac:dyDescent="0.25">
      <c r="A150" s="24" t="s">
        <v>738</v>
      </c>
      <c r="B150" s="53">
        <v>902</v>
      </c>
      <c r="C150" s="48" t="s">
        <v>30</v>
      </c>
      <c r="D150" s="48" t="s">
        <v>27</v>
      </c>
      <c r="E150" s="48" t="s">
        <v>297</v>
      </c>
      <c r="F150" s="48"/>
      <c r="G150" s="119">
        <f>G151+G153+G155</f>
        <v>86161.800000000017</v>
      </c>
      <c r="H150" s="119">
        <f t="shared" ref="H150:I150" si="42">H151+H153+H155</f>
        <v>34515.1</v>
      </c>
      <c r="I150" s="119">
        <f t="shared" si="42"/>
        <v>1634.7</v>
      </c>
      <c r="J150" s="139"/>
      <c r="K150" s="139"/>
      <c r="L150" s="139"/>
      <c r="M150" s="66"/>
      <c r="N150" s="66"/>
      <c r="O150" s="66"/>
      <c r="P150" s="66"/>
      <c r="Q150" s="66"/>
      <c r="R150" s="66"/>
      <c r="S150" s="66"/>
      <c r="T150" s="66"/>
    </row>
    <row r="151" spans="1:20" s="4" customFormat="1" ht="30.75" customHeight="1" x14ac:dyDescent="0.25">
      <c r="A151" s="24" t="s">
        <v>289</v>
      </c>
      <c r="B151" s="53">
        <v>902</v>
      </c>
      <c r="C151" s="48" t="s">
        <v>30</v>
      </c>
      <c r="D151" s="48" t="s">
        <v>27</v>
      </c>
      <c r="E151" s="48" t="s">
        <v>318</v>
      </c>
      <c r="F151" s="48"/>
      <c r="G151" s="119">
        <f t="shared" ref="G151:I151" si="43">G152</f>
        <v>743.80000000000007</v>
      </c>
      <c r="H151" s="119">
        <f t="shared" si="43"/>
        <v>1634.7</v>
      </c>
      <c r="I151" s="119">
        <f t="shared" si="43"/>
        <v>1634.7</v>
      </c>
      <c r="J151" s="139"/>
      <c r="K151" s="139"/>
      <c r="L151" s="139"/>
      <c r="M151" s="66"/>
      <c r="N151" s="66"/>
      <c r="O151" s="66"/>
      <c r="P151" s="66"/>
      <c r="Q151" s="66"/>
      <c r="R151" s="66"/>
      <c r="S151" s="66"/>
      <c r="T151" s="66"/>
    </row>
    <row r="152" spans="1:20" s="4" customFormat="1" ht="27.75" customHeight="1" x14ac:dyDescent="0.25">
      <c r="A152" s="24" t="s">
        <v>64</v>
      </c>
      <c r="B152" s="53">
        <v>902</v>
      </c>
      <c r="C152" s="48" t="s">
        <v>30</v>
      </c>
      <c r="D152" s="48" t="s">
        <v>27</v>
      </c>
      <c r="E152" s="48" t="s">
        <v>318</v>
      </c>
      <c r="F152" s="48" t="s">
        <v>65</v>
      </c>
      <c r="G152" s="119">
        <f>1634.7-713.8-177.1</f>
        <v>743.80000000000007</v>
      </c>
      <c r="H152" s="119">
        <v>1634.7</v>
      </c>
      <c r="I152" s="119">
        <v>1634.7</v>
      </c>
      <c r="J152" s="139"/>
      <c r="K152" s="139"/>
      <c r="L152" s="139"/>
      <c r="M152" s="66"/>
      <c r="N152" s="66"/>
      <c r="O152" s="66"/>
      <c r="P152" s="66"/>
      <c r="Q152" s="66"/>
      <c r="R152" s="66"/>
      <c r="S152" s="66"/>
      <c r="T152" s="66"/>
    </row>
    <row r="153" spans="1:20" s="4" customFormat="1" x14ac:dyDescent="0.25">
      <c r="A153" s="24" t="s">
        <v>671</v>
      </c>
      <c r="B153" s="53">
        <v>902</v>
      </c>
      <c r="C153" s="48" t="s">
        <v>30</v>
      </c>
      <c r="D153" s="48" t="s">
        <v>27</v>
      </c>
      <c r="E153" s="48" t="s">
        <v>670</v>
      </c>
      <c r="F153" s="48"/>
      <c r="G153" s="119">
        <f>G154</f>
        <v>6683.3</v>
      </c>
      <c r="H153" s="119">
        <f t="shared" ref="H153:I153" si="44">H154</f>
        <v>0</v>
      </c>
      <c r="I153" s="119">
        <f t="shared" si="44"/>
        <v>0</v>
      </c>
      <c r="J153" s="139"/>
      <c r="K153" s="139"/>
      <c r="L153" s="139"/>
      <c r="M153" s="66"/>
      <c r="N153" s="66"/>
      <c r="O153" s="66"/>
      <c r="P153" s="66"/>
      <c r="Q153" s="66"/>
      <c r="R153" s="66"/>
      <c r="S153" s="66"/>
      <c r="T153" s="66"/>
    </row>
    <row r="154" spans="1:20" s="4" customFormat="1" ht="25.5" x14ac:dyDescent="0.25">
      <c r="A154" s="24" t="s">
        <v>64</v>
      </c>
      <c r="B154" s="53">
        <v>902</v>
      </c>
      <c r="C154" s="48" t="s">
        <v>30</v>
      </c>
      <c r="D154" s="48" t="s">
        <v>27</v>
      </c>
      <c r="E154" s="48" t="s">
        <v>670</v>
      </c>
      <c r="F154" s="48" t="s">
        <v>65</v>
      </c>
      <c r="G154" s="119">
        <f>6590.3+93</f>
        <v>6683.3</v>
      </c>
      <c r="H154" s="119">
        <v>0</v>
      </c>
      <c r="I154" s="119">
        <v>0</v>
      </c>
      <c r="J154" s="139"/>
      <c r="K154" s="184"/>
      <c r="L154" s="139"/>
      <c r="M154" s="66"/>
      <c r="N154" s="66"/>
      <c r="O154" s="66"/>
      <c r="P154" s="66"/>
      <c r="Q154" s="66"/>
      <c r="R154" s="66"/>
      <c r="S154" s="66"/>
      <c r="T154" s="66"/>
    </row>
    <row r="155" spans="1:20" s="4" customFormat="1" ht="38.25" x14ac:dyDescent="0.25">
      <c r="A155" s="24" t="s">
        <v>677</v>
      </c>
      <c r="B155" s="53">
        <v>902</v>
      </c>
      <c r="C155" s="48" t="s">
        <v>30</v>
      </c>
      <c r="D155" s="48" t="s">
        <v>27</v>
      </c>
      <c r="E155" s="48" t="s">
        <v>676</v>
      </c>
      <c r="F155" s="48"/>
      <c r="G155" s="119">
        <f>G157+G156</f>
        <v>78734.700000000012</v>
      </c>
      <c r="H155" s="119">
        <f t="shared" ref="H155:I155" si="45">H157+H156</f>
        <v>32880.400000000001</v>
      </c>
      <c r="I155" s="119">
        <f t="shared" si="45"/>
        <v>0</v>
      </c>
      <c r="J155" s="139"/>
      <c r="K155" s="139"/>
      <c r="L155" s="139"/>
      <c r="M155" s="66"/>
      <c r="N155" s="66"/>
      <c r="O155" s="66"/>
      <c r="P155" s="66"/>
      <c r="Q155" s="66"/>
      <c r="R155" s="66"/>
      <c r="S155" s="66"/>
      <c r="T155" s="66"/>
    </row>
    <row r="156" spans="1:20" s="4" customFormat="1" ht="25.5" x14ac:dyDescent="0.25">
      <c r="A156" s="24" t="s">
        <v>226</v>
      </c>
      <c r="B156" s="53">
        <v>902</v>
      </c>
      <c r="C156" s="48" t="s">
        <v>30</v>
      </c>
      <c r="D156" s="48" t="s">
        <v>27</v>
      </c>
      <c r="E156" s="48" t="s">
        <v>676</v>
      </c>
      <c r="F156" s="48" t="s">
        <v>59</v>
      </c>
      <c r="G156" s="119">
        <v>1672.6</v>
      </c>
      <c r="H156" s="119">
        <v>0</v>
      </c>
      <c r="I156" s="119">
        <v>0</v>
      </c>
      <c r="J156" s="139"/>
      <c r="K156" s="139"/>
      <c r="L156" s="139"/>
      <c r="M156" s="66"/>
      <c r="N156" s="66"/>
      <c r="O156" s="66"/>
      <c r="P156" s="66"/>
      <c r="Q156" s="66"/>
      <c r="R156" s="66"/>
      <c r="S156" s="66"/>
      <c r="T156" s="66"/>
    </row>
    <row r="157" spans="1:20" s="4" customFormat="1" ht="27.75" customHeight="1" x14ac:dyDescent="0.25">
      <c r="A157" s="24" t="s">
        <v>64</v>
      </c>
      <c r="B157" s="53">
        <v>902</v>
      </c>
      <c r="C157" s="48" t="s">
        <v>30</v>
      </c>
      <c r="D157" s="48" t="s">
        <v>27</v>
      </c>
      <c r="E157" s="48" t="s">
        <v>676</v>
      </c>
      <c r="F157" s="48" t="s">
        <v>65</v>
      </c>
      <c r="G157" s="119">
        <f>11500+1529.5+6415.5+2460+4157.1+51000</f>
        <v>77062.100000000006</v>
      </c>
      <c r="H157" s="119">
        <v>32880.400000000001</v>
      </c>
      <c r="I157" s="119">
        <v>0</v>
      </c>
      <c r="J157" s="139">
        <v>51000</v>
      </c>
      <c r="K157" s="139"/>
      <c r="L157" s="139"/>
      <c r="M157" s="66"/>
      <c r="N157" s="66"/>
      <c r="O157" s="66"/>
      <c r="P157" s="66"/>
      <c r="Q157" s="66"/>
      <c r="R157" s="66"/>
      <c r="S157" s="66"/>
      <c r="T157" s="66"/>
    </row>
    <row r="158" spans="1:20" s="4" customFormat="1" ht="30" customHeight="1" x14ac:dyDescent="0.25">
      <c r="A158" s="24" t="s">
        <v>739</v>
      </c>
      <c r="B158" s="53">
        <v>902</v>
      </c>
      <c r="C158" s="48" t="s">
        <v>30</v>
      </c>
      <c r="D158" s="48" t="s">
        <v>27</v>
      </c>
      <c r="E158" s="48" t="s">
        <v>108</v>
      </c>
      <c r="F158" s="48"/>
      <c r="G158" s="119">
        <f>G159+G161</f>
        <v>960</v>
      </c>
      <c r="H158" s="119">
        <f>H159+H161</f>
        <v>960</v>
      </c>
      <c r="I158" s="119">
        <f>I159+I161</f>
        <v>960</v>
      </c>
      <c r="J158" s="139"/>
      <c r="K158" s="139"/>
      <c r="L158" s="139"/>
      <c r="M158" s="66"/>
      <c r="N158" s="66"/>
      <c r="O158" s="66"/>
      <c r="P158" s="66"/>
      <c r="Q158" s="66"/>
      <c r="R158" s="66"/>
      <c r="S158" s="66"/>
      <c r="T158" s="66"/>
    </row>
    <row r="159" spans="1:20" s="4" customFormat="1" ht="41.25" customHeight="1" x14ac:dyDescent="0.25">
      <c r="A159" s="24" t="s">
        <v>290</v>
      </c>
      <c r="B159" s="53">
        <v>902</v>
      </c>
      <c r="C159" s="48" t="s">
        <v>30</v>
      </c>
      <c r="D159" s="48" t="s">
        <v>27</v>
      </c>
      <c r="E159" s="48" t="s">
        <v>248</v>
      </c>
      <c r="F159" s="48"/>
      <c r="G159" s="119">
        <f>G160</f>
        <v>60</v>
      </c>
      <c r="H159" s="119">
        <f>H160</f>
        <v>60</v>
      </c>
      <c r="I159" s="119">
        <f>I160</f>
        <v>60</v>
      </c>
      <c r="J159" s="139"/>
      <c r="K159" s="139"/>
      <c r="L159" s="139"/>
      <c r="M159" s="66"/>
      <c r="N159" s="66"/>
      <c r="O159" s="66"/>
      <c r="P159" s="66"/>
      <c r="Q159" s="66"/>
      <c r="R159" s="66"/>
      <c r="S159" s="66"/>
      <c r="T159" s="66"/>
    </row>
    <row r="160" spans="1:20" s="4" customFormat="1" ht="28.5" customHeight="1" x14ac:dyDescent="0.25">
      <c r="A160" s="24" t="s">
        <v>64</v>
      </c>
      <c r="B160" s="53">
        <v>902</v>
      </c>
      <c r="C160" s="48" t="s">
        <v>30</v>
      </c>
      <c r="D160" s="48" t="s">
        <v>27</v>
      </c>
      <c r="E160" s="48" t="s">
        <v>248</v>
      </c>
      <c r="F160" s="48" t="s">
        <v>65</v>
      </c>
      <c r="G160" s="119">
        <v>60</v>
      </c>
      <c r="H160" s="119">
        <v>60</v>
      </c>
      <c r="I160" s="119">
        <v>60</v>
      </c>
      <c r="J160" s="139"/>
      <c r="K160" s="139"/>
      <c r="L160" s="139"/>
      <c r="M160" s="66"/>
      <c r="N160" s="66"/>
      <c r="O160" s="66"/>
      <c r="P160" s="66"/>
      <c r="Q160" s="66"/>
      <c r="R160" s="66"/>
      <c r="S160" s="66"/>
      <c r="T160" s="66"/>
    </row>
    <row r="161" spans="1:20" s="4" customFormat="1" ht="27.75" customHeight="1" x14ac:dyDescent="0.25">
      <c r="A161" s="24" t="s">
        <v>83</v>
      </c>
      <c r="B161" s="53">
        <v>902</v>
      </c>
      <c r="C161" s="48" t="s">
        <v>30</v>
      </c>
      <c r="D161" s="48" t="s">
        <v>27</v>
      </c>
      <c r="E161" s="48" t="s">
        <v>249</v>
      </c>
      <c r="F161" s="48"/>
      <c r="G161" s="119">
        <f>G162</f>
        <v>900</v>
      </c>
      <c r="H161" s="119">
        <f>H162</f>
        <v>900</v>
      </c>
      <c r="I161" s="119">
        <f>I162</f>
        <v>900</v>
      </c>
      <c r="J161" s="139"/>
      <c r="K161" s="139"/>
      <c r="L161" s="139"/>
      <c r="M161" s="66"/>
      <c r="N161" s="66"/>
      <c r="O161" s="66"/>
      <c r="P161" s="66"/>
      <c r="Q161" s="66"/>
      <c r="R161" s="66"/>
      <c r="S161" s="66"/>
      <c r="T161" s="66"/>
    </row>
    <row r="162" spans="1:20" s="4" customFormat="1" ht="29.25" customHeight="1" x14ac:dyDescent="0.25">
      <c r="A162" s="24" t="s">
        <v>64</v>
      </c>
      <c r="B162" s="53">
        <v>902</v>
      </c>
      <c r="C162" s="48" t="s">
        <v>30</v>
      </c>
      <c r="D162" s="48" t="s">
        <v>27</v>
      </c>
      <c r="E162" s="48" t="s">
        <v>249</v>
      </c>
      <c r="F162" s="48" t="s">
        <v>65</v>
      </c>
      <c r="G162" s="119">
        <v>900</v>
      </c>
      <c r="H162" s="119">
        <v>900</v>
      </c>
      <c r="I162" s="119">
        <v>900</v>
      </c>
      <c r="J162" s="139"/>
      <c r="K162" s="139"/>
      <c r="L162" s="139"/>
      <c r="M162" s="66"/>
      <c r="N162" s="66"/>
      <c r="O162" s="66"/>
      <c r="P162" s="66"/>
      <c r="Q162" s="66"/>
      <c r="R162" s="66"/>
      <c r="S162" s="66"/>
      <c r="T162" s="66"/>
    </row>
    <row r="163" spans="1:20" s="4" customFormat="1" ht="66.75" customHeight="1" x14ac:dyDescent="0.25">
      <c r="A163" s="24" t="s">
        <v>740</v>
      </c>
      <c r="B163" s="53">
        <v>902</v>
      </c>
      <c r="C163" s="48" t="s">
        <v>30</v>
      </c>
      <c r="D163" s="48" t="s">
        <v>27</v>
      </c>
      <c r="E163" s="48" t="s">
        <v>328</v>
      </c>
      <c r="F163" s="48"/>
      <c r="G163" s="119">
        <f>G164+G167+G170</f>
        <v>184777.8</v>
      </c>
      <c r="H163" s="119">
        <f t="shared" ref="H163:I163" si="46">H164+H167+H170</f>
        <v>210541.00000000003</v>
      </c>
      <c r="I163" s="119">
        <f t="shared" si="46"/>
        <v>204373.5</v>
      </c>
      <c r="J163" s="139"/>
      <c r="K163" s="139"/>
      <c r="L163" s="139"/>
      <c r="M163" s="66"/>
      <c r="N163" s="66"/>
      <c r="O163" s="66"/>
      <c r="P163" s="66"/>
      <c r="Q163" s="66"/>
      <c r="R163" s="66"/>
      <c r="S163" s="66"/>
      <c r="T163" s="66"/>
    </row>
    <row r="164" spans="1:20" s="4" customFormat="1" x14ac:dyDescent="0.25">
      <c r="A164" s="24" t="s">
        <v>375</v>
      </c>
      <c r="B164" s="53">
        <v>902</v>
      </c>
      <c r="C164" s="48" t="s">
        <v>30</v>
      </c>
      <c r="D164" s="48" t="s">
        <v>27</v>
      </c>
      <c r="E164" s="48" t="s">
        <v>374</v>
      </c>
      <c r="F164" s="48"/>
      <c r="G164" s="119">
        <f>G166+G165</f>
        <v>63890.500000000007</v>
      </c>
      <c r="H164" s="119">
        <f t="shared" ref="H164:I164" si="47">H166+H165</f>
        <v>98191.6</v>
      </c>
      <c r="I164" s="119">
        <f t="shared" si="47"/>
        <v>95812.3</v>
      </c>
      <c r="J164" s="139"/>
      <c r="K164" s="139"/>
      <c r="L164" s="139"/>
      <c r="M164" s="66"/>
      <c r="N164" s="66"/>
      <c r="O164" s="66"/>
      <c r="P164" s="66"/>
      <c r="Q164" s="66"/>
      <c r="R164" s="66"/>
      <c r="S164" s="66"/>
      <c r="T164" s="66"/>
    </row>
    <row r="165" spans="1:20" s="4" customFormat="1" ht="25.5" x14ac:dyDescent="0.25">
      <c r="A165" s="24" t="s">
        <v>226</v>
      </c>
      <c r="B165" s="53">
        <v>902</v>
      </c>
      <c r="C165" s="48" t="s">
        <v>30</v>
      </c>
      <c r="D165" s="48" t="s">
        <v>27</v>
      </c>
      <c r="E165" s="48" t="s">
        <v>374</v>
      </c>
      <c r="F165" s="48" t="s">
        <v>59</v>
      </c>
      <c r="G165" s="119">
        <f>4000-72</f>
        <v>3928</v>
      </c>
      <c r="H165" s="119">
        <v>4000</v>
      </c>
      <c r="I165" s="119">
        <v>4000</v>
      </c>
      <c r="J165" s="139"/>
      <c r="K165" s="139"/>
      <c r="L165" s="139"/>
      <c r="M165" s="66"/>
      <c r="N165" s="66"/>
      <c r="O165" s="66"/>
      <c r="P165" s="66"/>
      <c r="Q165" s="66"/>
      <c r="R165" s="66"/>
      <c r="S165" s="66"/>
      <c r="T165" s="66"/>
    </row>
    <row r="166" spans="1:20" s="4" customFormat="1" ht="25.5" x14ac:dyDescent="0.25">
      <c r="A166" s="24" t="s">
        <v>64</v>
      </c>
      <c r="B166" s="53">
        <v>902</v>
      </c>
      <c r="C166" s="48" t="s">
        <v>30</v>
      </c>
      <c r="D166" s="48" t="s">
        <v>27</v>
      </c>
      <c r="E166" s="48" t="s">
        <v>374</v>
      </c>
      <c r="F166" s="48" t="s">
        <v>65</v>
      </c>
      <c r="G166" s="119">
        <f>41822+0.3+211.6+9286.2+8642.4</f>
        <v>59962.500000000007</v>
      </c>
      <c r="H166" s="119">
        <f>93951.8+221+18.8</f>
        <v>94191.6</v>
      </c>
      <c r="I166" s="119">
        <f>93951.8-2035.1-97.9-6.5</f>
        <v>91812.3</v>
      </c>
      <c r="J166" s="139"/>
      <c r="K166" s="139"/>
      <c r="L166" s="139"/>
      <c r="M166" s="66"/>
      <c r="N166" s="66"/>
      <c r="O166" s="66"/>
      <c r="P166" s="66"/>
      <c r="Q166" s="66"/>
      <c r="R166" s="66"/>
      <c r="S166" s="66"/>
      <c r="T166" s="66"/>
    </row>
    <row r="167" spans="1:20" s="4" customFormat="1" ht="38.25" x14ac:dyDescent="0.25">
      <c r="A167" s="24" t="s">
        <v>608</v>
      </c>
      <c r="B167" s="53">
        <v>902</v>
      </c>
      <c r="C167" s="48" t="s">
        <v>30</v>
      </c>
      <c r="D167" s="48" t="s">
        <v>27</v>
      </c>
      <c r="E167" s="48" t="s">
        <v>607</v>
      </c>
      <c r="F167" s="48"/>
      <c r="G167" s="119">
        <f>G168+G169</f>
        <v>100536.19999999998</v>
      </c>
      <c r="H167" s="119">
        <f t="shared" ref="H167:I167" si="48">H168+H169</f>
        <v>91998.3</v>
      </c>
      <c r="I167" s="119">
        <f t="shared" si="48"/>
        <v>88210.099999999991</v>
      </c>
      <c r="J167" s="207"/>
      <c r="K167" s="206"/>
      <c r="L167" s="206"/>
      <c r="M167" s="66"/>
      <c r="N167" s="66"/>
      <c r="O167" s="66"/>
      <c r="P167" s="66"/>
      <c r="Q167" s="66"/>
      <c r="R167" s="66"/>
      <c r="S167" s="66"/>
      <c r="T167" s="66"/>
    </row>
    <row r="168" spans="1:20" s="4" customFormat="1" ht="25.5" x14ac:dyDescent="0.25">
      <c r="A168" s="24" t="s">
        <v>226</v>
      </c>
      <c r="B168" s="53">
        <v>902</v>
      </c>
      <c r="C168" s="48" t="s">
        <v>30</v>
      </c>
      <c r="D168" s="48" t="s">
        <v>27</v>
      </c>
      <c r="E168" s="48" t="s">
        <v>607</v>
      </c>
      <c r="F168" s="48" t="s">
        <v>59</v>
      </c>
      <c r="G168" s="119">
        <f>600+72</f>
        <v>672</v>
      </c>
      <c r="H168" s="119">
        <v>600</v>
      </c>
      <c r="I168" s="119">
        <v>598.9</v>
      </c>
      <c r="J168" s="139"/>
      <c r="K168" s="139"/>
      <c r="L168" s="139"/>
      <c r="M168" s="66"/>
      <c r="N168" s="66"/>
      <c r="O168" s="66"/>
      <c r="P168" s="66"/>
      <c r="Q168" s="66"/>
      <c r="R168" s="66"/>
      <c r="S168" s="66"/>
      <c r="T168" s="66"/>
    </row>
    <row r="169" spans="1:20" s="4" customFormat="1" ht="25.5" x14ac:dyDescent="0.25">
      <c r="A169" s="24" t="s">
        <v>64</v>
      </c>
      <c r="B169" s="53">
        <v>902</v>
      </c>
      <c r="C169" s="48" t="s">
        <v>30</v>
      </c>
      <c r="D169" s="48" t="s">
        <v>27</v>
      </c>
      <c r="E169" s="48" t="s">
        <v>607</v>
      </c>
      <c r="F169" s="48" t="s">
        <v>65</v>
      </c>
      <c r="G169" s="119">
        <f>100075.9-0.1-211.6</f>
        <v>99864.199999999983</v>
      </c>
      <c r="H169" s="119">
        <f>91619.3-221</f>
        <v>91398.3</v>
      </c>
      <c r="I169" s="119">
        <f>87513.2+0.1+97.9</f>
        <v>87611.199999999997</v>
      </c>
      <c r="J169" s="139"/>
      <c r="K169" s="139"/>
      <c r="L169" s="139"/>
      <c r="M169" s="66"/>
      <c r="N169" s="66"/>
      <c r="O169" s="66"/>
      <c r="P169" s="66"/>
      <c r="Q169" s="66"/>
      <c r="R169" s="66"/>
      <c r="S169" s="66"/>
      <c r="T169" s="66"/>
    </row>
    <row r="170" spans="1:20" s="4" customFormat="1" ht="51" x14ac:dyDescent="0.25">
      <c r="A170" s="24" t="s">
        <v>632</v>
      </c>
      <c r="B170" s="53">
        <v>902</v>
      </c>
      <c r="C170" s="48" t="s">
        <v>30</v>
      </c>
      <c r="D170" s="48" t="s">
        <v>27</v>
      </c>
      <c r="E170" s="48" t="s">
        <v>609</v>
      </c>
      <c r="F170" s="48"/>
      <c r="G170" s="119">
        <f>G173+G171+G172</f>
        <v>20351.099999999999</v>
      </c>
      <c r="H170" s="119">
        <f>H173+H171+H172</f>
        <v>20351.099999999999</v>
      </c>
      <c r="I170" s="119">
        <f>I173+I171+I172</f>
        <v>20351.099999999999</v>
      </c>
      <c r="J170" s="139"/>
      <c r="K170" s="139"/>
      <c r="L170" s="139"/>
      <c r="M170" s="66"/>
      <c r="N170" s="66"/>
      <c r="O170" s="66"/>
      <c r="P170" s="66"/>
      <c r="Q170" s="66"/>
      <c r="R170" s="66"/>
      <c r="S170" s="66"/>
      <c r="T170" s="66"/>
    </row>
    <row r="171" spans="1:20" s="4" customFormat="1" ht="25.5" x14ac:dyDescent="0.25">
      <c r="A171" s="24" t="s">
        <v>226</v>
      </c>
      <c r="B171" s="53">
        <v>902</v>
      </c>
      <c r="C171" s="48" t="s">
        <v>30</v>
      </c>
      <c r="D171" s="48" t="s">
        <v>27</v>
      </c>
      <c r="E171" s="48" t="s">
        <v>609</v>
      </c>
      <c r="F171" s="48" t="s">
        <v>59</v>
      </c>
      <c r="G171" s="119">
        <f>20+180</f>
        <v>200</v>
      </c>
      <c r="H171" s="119">
        <f t="shared" ref="H171" si="49">20+180</f>
        <v>200</v>
      </c>
      <c r="I171" s="119">
        <f>20+180-20</f>
        <v>180</v>
      </c>
      <c r="J171" s="139"/>
      <c r="K171" s="139"/>
      <c r="L171" s="139"/>
      <c r="M171" s="66"/>
      <c r="N171" s="66"/>
      <c r="O171" s="66"/>
      <c r="P171" s="66"/>
      <c r="Q171" s="66"/>
      <c r="R171" s="66"/>
      <c r="S171" s="66"/>
      <c r="T171" s="66"/>
    </row>
    <row r="172" spans="1:20" s="4" customFormat="1" x14ac:dyDescent="0.25">
      <c r="A172" s="28" t="s">
        <v>85</v>
      </c>
      <c r="B172" s="53">
        <v>902</v>
      </c>
      <c r="C172" s="48" t="s">
        <v>30</v>
      </c>
      <c r="D172" s="48" t="s">
        <v>27</v>
      </c>
      <c r="E172" s="48" t="s">
        <v>609</v>
      </c>
      <c r="F172" s="48" t="s">
        <v>86</v>
      </c>
      <c r="G172" s="119">
        <f>50+450</f>
        <v>500</v>
      </c>
      <c r="H172" s="119">
        <f t="shared" ref="H172" si="50">50+450</f>
        <v>500</v>
      </c>
      <c r="I172" s="119">
        <f>50+450-50</f>
        <v>450</v>
      </c>
      <c r="J172" s="139"/>
      <c r="K172" s="139"/>
      <c r="L172" s="139"/>
      <c r="M172" s="66"/>
      <c r="N172" s="66"/>
      <c r="O172" s="66"/>
      <c r="P172" s="66"/>
      <c r="Q172" s="66"/>
      <c r="R172" s="66"/>
      <c r="S172" s="66"/>
      <c r="T172" s="66"/>
    </row>
    <row r="173" spans="1:20" s="4" customFormat="1" ht="25.5" x14ac:dyDescent="0.25">
      <c r="A173" s="24" t="s">
        <v>64</v>
      </c>
      <c r="B173" s="53">
        <v>902</v>
      </c>
      <c r="C173" s="48" t="s">
        <v>30</v>
      </c>
      <c r="D173" s="48" t="s">
        <v>27</v>
      </c>
      <c r="E173" s="48" t="s">
        <v>609</v>
      </c>
      <c r="F173" s="48" t="s">
        <v>65</v>
      </c>
      <c r="G173" s="119">
        <f>1965.1+17686</f>
        <v>19651.099999999999</v>
      </c>
      <c r="H173" s="119">
        <f>1965.1+17686</f>
        <v>19651.099999999999</v>
      </c>
      <c r="I173" s="119">
        <f>17686+2035.1</f>
        <v>19721.099999999999</v>
      </c>
      <c r="J173" s="139"/>
      <c r="K173" s="139"/>
      <c r="L173" s="139"/>
      <c r="M173" s="66"/>
      <c r="N173" s="66"/>
      <c r="O173" s="66"/>
      <c r="P173" s="66"/>
      <c r="Q173" s="66"/>
      <c r="R173" s="66"/>
      <c r="S173" s="66"/>
      <c r="T173" s="66"/>
    </row>
    <row r="174" spans="1:20" s="4" customFormat="1" ht="25.5" x14ac:dyDescent="0.25">
      <c r="A174" s="24" t="s">
        <v>779</v>
      </c>
      <c r="B174" s="53">
        <v>902</v>
      </c>
      <c r="C174" s="48" t="s">
        <v>30</v>
      </c>
      <c r="D174" s="48" t="s">
        <v>27</v>
      </c>
      <c r="E174" s="48" t="s">
        <v>543</v>
      </c>
      <c r="F174" s="48"/>
      <c r="G174" s="119">
        <f t="shared" ref="G174:I175" si="51">G175</f>
        <v>30</v>
      </c>
      <c r="H174" s="119">
        <f t="shared" si="51"/>
        <v>30</v>
      </c>
      <c r="I174" s="119">
        <f t="shared" si="51"/>
        <v>30</v>
      </c>
      <c r="J174" s="139"/>
      <c r="K174" s="139"/>
      <c r="L174" s="139"/>
      <c r="M174" s="66"/>
      <c r="N174" s="66"/>
      <c r="O174" s="66"/>
      <c r="P174" s="66"/>
      <c r="Q174" s="66"/>
      <c r="R174" s="66"/>
      <c r="S174" s="66"/>
      <c r="T174" s="66"/>
    </row>
    <row r="175" spans="1:20" s="4" customFormat="1" ht="25.5" x14ac:dyDescent="0.25">
      <c r="A175" s="24" t="s">
        <v>234</v>
      </c>
      <c r="B175" s="53">
        <v>902</v>
      </c>
      <c r="C175" s="48" t="s">
        <v>30</v>
      </c>
      <c r="D175" s="48" t="s">
        <v>27</v>
      </c>
      <c r="E175" s="48" t="s">
        <v>544</v>
      </c>
      <c r="F175" s="48"/>
      <c r="G175" s="119">
        <f t="shared" si="51"/>
        <v>30</v>
      </c>
      <c r="H175" s="119">
        <f t="shared" si="51"/>
        <v>30</v>
      </c>
      <c r="I175" s="119">
        <f t="shared" si="51"/>
        <v>30</v>
      </c>
      <c r="J175" s="139"/>
      <c r="K175" s="139"/>
      <c r="L175" s="139"/>
      <c r="M175" s="66"/>
      <c r="N175" s="66"/>
      <c r="O175" s="66"/>
      <c r="P175" s="66"/>
      <c r="Q175" s="66"/>
      <c r="R175" s="66"/>
      <c r="S175" s="66"/>
      <c r="T175" s="66"/>
    </row>
    <row r="176" spans="1:20" s="4" customFormat="1" ht="28.5" customHeight="1" x14ac:dyDescent="0.25">
      <c r="A176" s="24" t="s">
        <v>64</v>
      </c>
      <c r="B176" s="53">
        <v>902</v>
      </c>
      <c r="C176" s="48" t="s">
        <v>30</v>
      </c>
      <c r="D176" s="48" t="s">
        <v>27</v>
      </c>
      <c r="E176" s="48" t="s">
        <v>544</v>
      </c>
      <c r="F176" s="48" t="s">
        <v>65</v>
      </c>
      <c r="G176" s="119">
        <v>30</v>
      </c>
      <c r="H176" s="119">
        <v>30</v>
      </c>
      <c r="I176" s="119">
        <v>30</v>
      </c>
      <c r="J176" s="139"/>
      <c r="K176" s="139"/>
      <c r="L176" s="139"/>
      <c r="M176" s="66"/>
      <c r="N176" s="66"/>
      <c r="O176" s="66"/>
      <c r="P176" s="66"/>
      <c r="Q176" s="66"/>
      <c r="R176" s="66"/>
      <c r="S176" s="66"/>
      <c r="T176" s="66"/>
    </row>
    <row r="177" spans="1:20" s="4" customFormat="1" ht="28.5" customHeight="1" x14ac:dyDescent="0.25">
      <c r="A177" s="24" t="s">
        <v>908</v>
      </c>
      <c r="B177" s="53">
        <v>902</v>
      </c>
      <c r="C177" s="48" t="s">
        <v>30</v>
      </c>
      <c r="D177" s="48" t="s">
        <v>27</v>
      </c>
      <c r="E177" s="48" t="s">
        <v>886</v>
      </c>
      <c r="F177" s="48"/>
      <c r="G177" s="119">
        <f>G178</f>
        <v>212678.3</v>
      </c>
      <c r="H177" s="119">
        <f t="shared" ref="H177:I178" si="52">H178</f>
        <v>0</v>
      </c>
      <c r="I177" s="119">
        <f t="shared" si="52"/>
        <v>0</v>
      </c>
      <c r="J177" s="139"/>
      <c r="K177" s="139"/>
      <c r="L177" s="139"/>
      <c r="M177" s="66"/>
      <c r="N177" s="66"/>
      <c r="O177" s="66"/>
      <c r="P177" s="66"/>
      <c r="Q177" s="66"/>
      <c r="R177" s="66"/>
      <c r="S177" s="66"/>
      <c r="T177" s="66"/>
    </row>
    <row r="178" spans="1:20" s="4" customFormat="1" ht="28.5" customHeight="1" x14ac:dyDescent="0.25">
      <c r="A178" s="24" t="s">
        <v>888</v>
      </c>
      <c r="B178" s="53">
        <v>902</v>
      </c>
      <c r="C178" s="48" t="s">
        <v>30</v>
      </c>
      <c r="D178" s="48" t="s">
        <v>27</v>
      </c>
      <c r="E178" s="48" t="s">
        <v>887</v>
      </c>
      <c r="F178" s="48"/>
      <c r="G178" s="119">
        <f>G179</f>
        <v>212678.3</v>
      </c>
      <c r="H178" s="119">
        <f t="shared" si="52"/>
        <v>0</v>
      </c>
      <c r="I178" s="119">
        <f t="shared" si="52"/>
        <v>0</v>
      </c>
      <c r="J178" s="139"/>
      <c r="K178" s="139"/>
      <c r="L178" s="139"/>
      <c r="M178" s="66"/>
      <c r="N178" s="66"/>
      <c r="O178" s="66"/>
      <c r="P178" s="66"/>
      <c r="Q178" s="66"/>
      <c r="R178" s="66"/>
      <c r="S178" s="66"/>
      <c r="T178" s="66"/>
    </row>
    <row r="179" spans="1:20" s="4" customFormat="1" ht="25.5" x14ac:dyDescent="0.25">
      <c r="A179" s="24" t="s">
        <v>226</v>
      </c>
      <c r="B179" s="53">
        <v>902</v>
      </c>
      <c r="C179" s="48" t="s">
        <v>30</v>
      </c>
      <c r="D179" s="48" t="s">
        <v>27</v>
      </c>
      <c r="E179" s="48" t="s">
        <v>887</v>
      </c>
      <c r="F179" s="48" t="s">
        <v>59</v>
      </c>
      <c r="G179" s="119">
        <f>217800-5121.7</f>
        <v>212678.3</v>
      </c>
      <c r="H179" s="119">
        <v>0</v>
      </c>
      <c r="I179" s="119">
        <v>0</v>
      </c>
      <c r="J179" s="139"/>
      <c r="K179" s="139"/>
      <c r="L179" s="139"/>
      <c r="M179" s="66"/>
      <c r="N179" s="66"/>
      <c r="O179" s="66"/>
      <c r="P179" s="66"/>
      <c r="Q179" s="66"/>
      <c r="R179" s="66"/>
      <c r="S179" s="66"/>
      <c r="T179" s="66"/>
    </row>
    <row r="180" spans="1:20" s="4" customFormat="1" ht="25.5" x14ac:dyDescent="0.25">
      <c r="A180" s="24" t="s">
        <v>925</v>
      </c>
      <c r="B180" s="53">
        <v>902</v>
      </c>
      <c r="C180" s="48" t="s">
        <v>30</v>
      </c>
      <c r="D180" s="48" t="s">
        <v>27</v>
      </c>
      <c r="E180" s="48" t="s">
        <v>924</v>
      </c>
      <c r="F180" s="48"/>
      <c r="G180" s="119">
        <f t="shared" ref="G180:I181" si="53">G181</f>
        <v>386065.4</v>
      </c>
      <c r="H180" s="119">
        <f t="shared" si="53"/>
        <v>0</v>
      </c>
      <c r="I180" s="119">
        <f t="shared" si="53"/>
        <v>0</v>
      </c>
      <c r="J180" s="139"/>
      <c r="K180" s="139"/>
      <c r="L180" s="139"/>
      <c r="M180" s="66"/>
      <c r="N180" s="66"/>
      <c r="O180" s="66"/>
      <c r="P180" s="66"/>
      <c r="Q180" s="66"/>
      <c r="R180" s="66"/>
      <c r="S180" s="66"/>
      <c r="T180" s="66"/>
    </row>
    <row r="181" spans="1:20" s="4" customFormat="1" x14ac:dyDescent="0.25">
      <c r="A181" s="24" t="s">
        <v>638</v>
      </c>
      <c r="B181" s="53">
        <v>902</v>
      </c>
      <c r="C181" s="48" t="s">
        <v>30</v>
      </c>
      <c r="D181" s="48" t="s">
        <v>27</v>
      </c>
      <c r="E181" s="48" t="s">
        <v>926</v>
      </c>
      <c r="F181" s="48"/>
      <c r="G181" s="119">
        <f t="shared" si="53"/>
        <v>386065.4</v>
      </c>
      <c r="H181" s="119">
        <f t="shared" si="53"/>
        <v>0</v>
      </c>
      <c r="I181" s="119">
        <f t="shared" si="53"/>
        <v>0</v>
      </c>
      <c r="J181" s="139"/>
      <c r="K181" s="139"/>
      <c r="L181" s="139"/>
      <c r="M181" s="66"/>
      <c r="N181" s="66"/>
      <c r="O181" s="66"/>
      <c r="P181" s="66"/>
      <c r="Q181" s="66"/>
      <c r="R181" s="66"/>
      <c r="S181" s="66"/>
      <c r="T181" s="66"/>
    </row>
    <row r="182" spans="1:20" s="4" customFormat="1" ht="25.5" x14ac:dyDescent="0.25">
      <c r="A182" s="24" t="s">
        <v>64</v>
      </c>
      <c r="B182" s="53">
        <v>902</v>
      </c>
      <c r="C182" s="48" t="s">
        <v>30</v>
      </c>
      <c r="D182" s="48" t="s">
        <v>27</v>
      </c>
      <c r="E182" s="48" t="s">
        <v>926</v>
      </c>
      <c r="F182" s="48" t="s">
        <v>65</v>
      </c>
      <c r="G182" s="119">
        <f>359861.8+10135.4+12.9+1331.5+550+6600.1+33.7+7540</f>
        <v>386065.4</v>
      </c>
      <c r="H182" s="119">
        <v>0</v>
      </c>
      <c r="I182" s="119">
        <v>0</v>
      </c>
      <c r="J182" s="139"/>
      <c r="K182" s="139"/>
      <c r="L182" s="139"/>
      <c r="M182" s="66"/>
      <c r="N182" s="66"/>
      <c r="O182" s="66"/>
      <c r="P182" s="66"/>
      <c r="Q182" s="66"/>
      <c r="R182" s="66"/>
      <c r="S182" s="66"/>
      <c r="T182" s="66"/>
    </row>
    <row r="183" spans="1:20" s="4" customFormat="1" ht="25.5" x14ac:dyDescent="0.25">
      <c r="A183" s="24" t="s">
        <v>928</v>
      </c>
      <c r="B183" s="53">
        <v>902</v>
      </c>
      <c r="C183" s="48" t="s">
        <v>30</v>
      </c>
      <c r="D183" s="48" t="s">
        <v>27</v>
      </c>
      <c r="E183" s="48" t="s">
        <v>927</v>
      </c>
      <c r="F183" s="48"/>
      <c r="G183" s="119">
        <f>G184+G187+G190</f>
        <v>81454.599999999991</v>
      </c>
      <c r="H183" s="119">
        <f t="shared" ref="H183:I183" si="54">H184+H187+H190</f>
        <v>83708.800000000003</v>
      </c>
      <c r="I183" s="119">
        <f t="shared" si="54"/>
        <v>83812.600000000006</v>
      </c>
      <c r="J183" s="139"/>
      <c r="K183" s="139"/>
      <c r="L183" s="139"/>
      <c r="M183" s="66"/>
      <c r="N183" s="66"/>
      <c r="O183" s="66"/>
      <c r="P183" s="66"/>
      <c r="Q183" s="66"/>
      <c r="R183" s="66"/>
      <c r="S183" s="66"/>
      <c r="T183" s="66"/>
    </row>
    <row r="184" spans="1:20" s="4" customFormat="1" ht="89.25" x14ac:dyDescent="0.25">
      <c r="A184" s="24" t="s">
        <v>930</v>
      </c>
      <c r="B184" s="53">
        <v>902</v>
      </c>
      <c r="C184" s="48" t="s">
        <v>30</v>
      </c>
      <c r="D184" s="48" t="s">
        <v>27</v>
      </c>
      <c r="E184" s="48" t="s">
        <v>929</v>
      </c>
      <c r="F184" s="48"/>
      <c r="G184" s="119">
        <f>G185+G186</f>
        <v>1796.8</v>
      </c>
      <c r="H184" s="119">
        <f t="shared" ref="H184:I184" si="55">H185+H186</f>
        <v>1796.8</v>
      </c>
      <c r="I184" s="119">
        <f t="shared" si="55"/>
        <v>1796.8</v>
      </c>
      <c r="J184" s="139"/>
      <c r="K184" s="139"/>
      <c r="L184" s="139"/>
      <c r="M184" s="66"/>
      <c r="N184" s="66"/>
      <c r="O184" s="66"/>
      <c r="P184" s="66"/>
      <c r="Q184" s="66"/>
      <c r="R184" s="66"/>
      <c r="S184" s="66"/>
      <c r="T184" s="66"/>
    </row>
    <row r="185" spans="1:20" s="4" customFormat="1" ht="38.25" x14ac:dyDescent="0.25">
      <c r="A185" s="24" t="s">
        <v>225</v>
      </c>
      <c r="B185" s="53">
        <v>902</v>
      </c>
      <c r="C185" s="48" t="s">
        <v>30</v>
      </c>
      <c r="D185" s="48" t="s">
        <v>27</v>
      </c>
      <c r="E185" s="48" t="s">
        <v>929</v>
      </c>
      <c r="F185" s="48" t="s">
        <v>66</v>
      </c>
      <c r="G185" s="119">
        <v>78.099999999999994</v>
      </c>
      <c r="H185" s="119">
        <v>78.099999999999994</v>
      </c>
      <c r="I185" s="119">
        <v>78.099999999999994</v>
      </c>
      <c r="J185" s="139"/>
      <c r="K185" s="139"/>
      <c r="L185" s="139"/>
      <c r="M185" s="66"/>
      <c r="N185" s="66"/>
      <c r="O185" s="66"/>
      <c r="P185" s="66"/>
      <c r="Q185" s="66"/>
      <c r="R185" s="66"/>
      <c r="S185" s="66"/>
      <c r="T185" s="66"/>
    </row>
    <row r="186" spans="1:20" s="4" customFormat="1" ht="25.5" x14ac:dyDescent="0.25">
      <c r="A186" s="24" t="s">
        <v>64</v>
      </c>
      <c r="B186" s="53">
        <v>902</v>
      </c>
      <c r="C186" s="48" t="s">
        <v>30</v>
      </c>
      <c r="D186" s="48" t="s">
        <v>27</v>
      </c>
      <c r="E186" s="48" t="s">
        <v>929</v>
      </c>
      <c r="F186" s="48" t="s">
        <v>65</v>
      </c>
      <c r="G186" s="119">
        <v>1718.7</v>
      </c>
      <c r="H186" s="119">
        <v>1718.7</v>
      </c>
      <c r="I186" s="119">
        <v>1718.7</v>
      </c>
      <c r="J186" s="139"/>
      <c r="K186" s="139"/>
      <c r="L186" s="139"/>
      <c r="M186" s="66"/>
      <c r="N186" s="66"/>
      <c r="O186" s="66"/>
      <c r="P186" s="66"/>
      <c r="Q186" s="66"/>
      <c r="R186" s="66"/>
      <c r="S186" s="66"/>
      <c r="T186" s="66"/>
    </row>
    <row r="187" spans="1:20" s="4" customFormat="1" ht="38.25" x14ac:dyDescent="0.25">
      <c r="A187" s="24" t="s">
        <v>669</v>
      </c>
      <c r="B187" s="53">
        <v>902</v>
      </c>
      <c r="C187" s="48" t="s">
        <v>30</v>
      </c>
      <c r="D187" s="48" t="s">
        <v>27</v>
      </c>
      <c r="E187" s="48" t="s">
        <v>931</v>
      </c>
      <c r="F187" s="48"/>
      <c r="G187" s="119">
        <f>G188+G189</f>
        <v>5659.2000000000007</v>
      </c>
      <c r="H187" s="119">
        <f t="shared" ref="H187:I187" si="56">H188+H189</f>
        <v>5745</v>
      </c>
      <c r="I187" s="119">
        <f t="shared" si="56"/>
        <v>5848.8</v>
      </c>
      <c r="J187" s="139"/>
      <c r="K187" s="139"/>
      <c r="L187" s="139"/>
      <c r="M187" s="66"/>
      <c r="N187" s="66"/>
      <c r="O187" s="66"/>
      <c r="P187" s="66"/>
      <c r="Q187" s="66"/>
      <c r="R187" s="66"/>
      <c r="S187" s="66"/>
      <c r="T187" s="66"/>
    </row>
    <row r="188" spans="1:20" s="4" customFormat="1" ht="38.25" x14ac:dyDescent="0.25">
      <c r="A188" s="24" t="s">
        <v>225</v>
      </c>
      <c r="B188" s="53">
        <v>902</v>
      </c>
      <c r="C188" s="48" t="s">
        <v>30</v>
      </c>
      <c r="D188" s="48" t="s">
        <v>27</v>
      </c>
      <c r="E188" s="48" t="s">
        <v>931</v>
      </c>
      <c r="F188" s="48" t="s">
        <v>66</v>
      </c>
      <c r="G188" s="119">
        <v>242.6</v>
      </c>
      <c r="H188" s="119">
        <v>242.6</v>
      </c>
      <c r="I188" s="119">
        <v>242.6</v>
      </c>
      <c r="J188" s="139"/>
      <c r="K188" s="139"/>
      <c r="L188" s="139"/>
      <c r="M188" s="66"/>
      <c r="N188" s="66"/>
      <c r="O188" s="66"/>
      <c r="P188" s="66"/>
      <c r="Q188" s="66"/>
      <c r="R188" s="66"/>
      <c r="S188" s="66"/>
      <c r="T188" s="66"/>
    </row>
    <row r="189" spans="1:20" s="4" customFormat="1" ht="25.5" x14ac:dyDescent="0.25">
      <c r="A189" s="24" t="s">
        <v>64</v>
      </c>
      <c r="B189" s="53">
        <v>902</v>
      </c>
      <c r="C189" s="48" t="s">
        <v>30</v>
      </c>
      <c r="D189" s="48" t="s">
        <v>27</v>
      </c>
      <c r="E189" s="48" t="s">
        <v>931</v>
      </c>
      <c r="F189" s="48" t="s">
        <v>65</v>
      </c>
      <c r="G189" s="119">
        <f>5429.4+0.1-12.9</f>
        <v>5416.6</v>
      </c>
      <c r="H189" s="119">
        <f>5521.2-18.8</f>
        <v>5502.4</v>
      </c>
      <c r="I189" s="119">
        <f>5599.7+6.5</f>
        <v>5606.2</v>
      </c>
      <c r="J189" s="139"/>
      <c r="K189" s="139"/>
      <c r="L189" s="139"/>
      <c r="M189" s="66"/>
      <c r="N189" s="66"/>
      <c r="O189" s="66"/>
      <c r="P189" s="66"/>
      <c r="Q189" s="66"/>
      <c r="R189" s="66"/>
      <c r="S189" s="66"/>
      <c r="T189" s="66"/>
    </row>
    <row r="190" spans="1:20" s="4" customFormat="1" ht="38.25" x14ac:dyDescent="0.25">
      <c r="A190" s="24" t="s">
        <v>350</v>
      </c>
      <c r="B190" s="53">
        <v>902</v>
      </c>
      <c r="C190" s="48" t="s">
        <v>30</v>
      </c>
      <c r="D190" s="48" t="s">
        <v>27</v>
      </c>
      <c r="E190" s="48" t="s">
        <v>932</v>
      </c>
      <c r="F190" s="48"/>
      <c r="G190" s="119">
        <f>G191+G192</f>
        <v>73998.599999999991</v>
      </c>
      <c r="H190" s="119">
        <f t="shared" ref="H190:I190" si="57">H191+H192</f>
        <v>76167</v>
      </c>
      <c r="I190" s="119">
        <f t="shared" si="57"/>
        <v>76167</v>
      </c>
      <c r="J190" s="139"/>
      <c r="K190" s="139"/>
      <c r="L190" s="139"/>
      <c r="M190" s="66"/>
      <c r="N190" s="66"/>
      <c r="O190" s="66"/>
      <c r="P190" s="66"/>
      <c r="Q190" s="66"/>
      <c r="R190" s="66"/>
      <c r="S190" s="66"/>
      <c r="T190" s="66"/>
    </row>
    <row r="191" spans="1:20" s="4" customFormat="1" ht="38.25" x14ac:dyDescent="0.25">
      <c r="A191" s="24" t="s">
        <v>225</v>
      </c>
      <c r="B191" s="53">
        <v>902</v>
      </c>
      <c r="C191" s="48" t="s">
        <v>30</v>
      </c>
      <c r="D191" s="48" t="s">
        <v>27</v>
      </c>
      <c r="E191" s="48" t="s">
        <v>932</v>
      </c>
      <c r="F191" s="48" t="s">
        <v>66</v>
      </c>
      <c r="G191" s="119">
        <v>1562.4</v>
      </c>
      <c r="H191" s="119">
        <v>1562.4</v>
      </c>
      <c r="I191" s="119">
        <v>1562.4</v>
      </c>
      <c r="J191" s="139"/>
      <c r="K191" s="139"/>
      <c r="L191" s="139"/>
      <c r="M191" s="66"/>
      <c r="N191" s="66"/>
      <c r="O191" s="66"/>
      <c r="P191" s="66"/>
      <c r="Q191" s="66"/>
      <c r="R191" s="66"/>
      <c r="S191" s="66"/>
      <c r="T191" s="66"/>
    </row>
    <row r="192" spans="1:20" s="4" customFormat="1" ht="25.5" x14ac:dyDescent="0.25">
      <c r="A192" s="24" t="s">
        <v>64</v>
      </c>
      <c r="B192" s="53">
        <v>902</v>
      </c>
      <c r="C192" s="48" t="s">
        <v>30</v>
      </c>
      <c r="D192" s="48" t="s">
        <v>27</v>
      </c>
      <c r="E192" s="48" t="s">
        <v>932</v>
      </c>
      <c r="F192" s="48" t="s">
        <v>65</v>
      </c>
      <c r="G192" s="119">
        <v>72436.2</v>
      </c>
      <c r="H192" s="119">
        <v>74604.600000000006</v>
      </c>
      <c r="I192" s="119">
        <v>74604.600000000006</v>
      </c>
      <c r="J192" s="139"/>
      <c r="K192" s="139"/>
      <c r="L192" s="139"/>
      <c r="M192" s="66"/>
      <c r="N192" s="66"/>
      <c r="O192" s="66"/>
      <c r="P192" s="66"/>
      <c r="Q192" s="66"/>
      <c r="R192" s="66"/>
      <c r="S192" s="66"/>
      <c r="T192" s="66"/>
    </row>
    <row r="193" spans="1:20" s="4" customFormat="1" ht="25.5" x14ac:dyDescent="0.25">
      <c r="A193" s="24" t="s">
        <v>741</v>
      </c>
      <c r="B193" s="53">
        <v>902</v>
      </c>
      <c r="C193" s="48" t="s">
        <v>30</v>
      </c>
      <c r="D193" s="48" t="s">
        <v>27</v>
      </c>
      <c r="E193" s="48" t="s">
        <v>672</v>
      </c>
      <c r="F193" s="48"/>
      <c r="G193" s="119">
        <f>G194+G198</f>
        <v>51566.499999999993</v>
      </c>
      <c r="H193" s="119">
        <f t="shared" ref="H193:I193" si="58">H194+H198</f>
        <v>0</v>
      </c>
      <c r="I193" s="119">
        <f t="shared" si="58"/>
        <v>0</v>
      </c>
      <c r="J193" s="139"/>
      <c r="K193" s="139"/>
      <c r="L193" s="139"/>
      <c r="M193" s="66"/>
      <c r="N193" s="66"/>
      <c r="O193" s="66"/>
      <c r="P193" s="66"/>
      <c r="Q193" s="66"/>
      <c r="R193" s="66"/>
      <c r="S193" s="66"/>
      <c r="T193" s="66"/>
    </row>
    <row r="194" spans="1:20" s="4" customFormat="1" ht="25.5" x14ac:dyDescent="0.25">
      <c r="A194" s="24" t="s">
        <v>742</v>
      </c>
      <c r="B194" s="53">
        <v>902</v>
      </c>
      <c r="C194" s="48" t="s">
        <v>30</v>
      </c>
      <c r="D194" s="48" t="s">
        <v>27</v>
      </c>
      <c r="E194" s="48" t="s">
        <v>673</v>
      </c>
      <c r="F194" s="48"/>
      <c r="G194" s="119">
        <f>G195</f>
        <v>44348.999999999993</v>
      </c>
      <c r="H194" s="119">
        <f t="shared" ref="H194" si="59">H195</f>
        <v>0</v>
      </c>
      <c r="I194" s="119">
        <f t="shared" ref="I194" si="60">I195</f>
        <v>0</v>
      </c>
      <c r="J194" s="139"/>
      <c r="K194" s="139"/>
      <c r="L194" s="139"/>
      <c r="M194" s="66"/>
      <c r="N194" s="66"/>
      <c r="O194" s="66"/>
      <c r="P194" s="66"/>
      <c r="Q194" s="66"/>
      <c r="R194" s="66"/>
      <c r="S194" s="66"/>
      <c r="T194" s="66"/>
    </row>
    <row r="195" spans="1:20" s="4" customFormat="1" ht="25.5" x14ac:dyDescent="0.25">
      <c r="A195" s="24" t="s">
        <v>674</v>
      </c>
      <c r="B195" s="53">
        <v>902</v>
      </c>
      <c r="C195" s="48" t="s">
        <v>30</v>
      </c>
      <c r="D195" s="48" t="s">
        <v>27</v>
      </c>
      <c r="E195" s="48" t="s">
        <v>675</v>
      </c>
      <c r="F195" s="48"/>
      <c r="G195" s="119">
        <f>G197+G196</f>
        <v>44348.999999999993</v>
      </c>
      <c r="H195" s="119">
        <f t="shared" ref="H195:I195" si="61">H197+H196</f>
        <v>0</v>
      </c>
      <c r="I195" s="119">
        <f t="shared" si="61"/>
        <v>0</v>
      </c>
      <c r="J195" s="139"/>
      <c r="K195" s="139"/>
      <c r="L195" s="139"/>
      <c r="M195" s="66"/>
      <c r="N195" s="66"/>
      <c r="O195" s="66"/>
      <c r="P195" s="66"/>
      <c r="Q195" s="66"/>
      <c r="R195" s="66"/>
      <c r="S195" s="66"/>
      <c r="T195" s="66"/>
    </row>
    <row r="196" spans="1:20" s="4" customFormat="1" ht="25.5" x14ac:dyDescent="0.25">
      <c r="A196" s="24" t="s">
        <v>226</v>
      </c>
      <c r="B196" s="53">
        <v>902</v>
      </c>
      <c r="C196" s="48" t="s">
        <v>30</v>
      </c>
      <c r="D196" s="48" t="s">
        <v>27</v>
      </c>
      <c r="E196" s="48" t="s">
        <v>675</v>
      </c>
      <c r="F196" s="48" t="s">
        <v>59</v>
      </c>
      <c r="G196" s="119">
        <v>52.7</v>
      </c>
      <c r="H196" s="119">
        <v>0</v>
      </c>
      <c r="I196" s="119">
        <v>0</v>
      </c>
      <c r="J196" s="139"/>
      <c r="K196" s="139"/>
      <c r="L196" s="139"/>
      <c r="M196" s="66"/>
      <c r="N196" s="66"/>
      <c r="O196" s="66"/>
      <c r="P196" s="66"/>
      <c r="Q196" s="66"/>
      <c r="R196" s="66"/>
      <c r="S196" s="66"/>
      <c r="T196" s="66"/>
    </row>
    <row r="197" spans="1:20" s="4" customFormat="1" ht="25.5" x14ac:dyDescent="0.25">
      <c r="A197" s="24" t="s">
        <v>64</v>
      </c>
      <c r="B197" s="53">
        <v>902</v>
      </c>
      <c r="C197" s="48" t="s">
        <v>30</v>
      </c>
      <c r="D197" s="48" t="s">
        <v>27</v>
      </c>
      <c r="E197" s="48" t="s">
        <v>675</v>
      </c>
      <c r="F197" s="48" t="s">
        <v>65</v>
      </c>
      <c r="G197" s="119">
        <f>26514.8+154+340.1+199.8+232.6+220.4+3300.3+46.3+3032.5+340+3290+3413.5+3212</f>
        <v>44296.299999999996</v>
      </c>
      <c r="H197" s="119">
        <v>0</v>
      </c>
      <c r="I197" s="119">
        <v>0</v>
      </c>
      <c r="J197" s="139"/>
      <c r="K197" s="139"/>
      <c r="L197" s="139"/>
      <c r="M197" s="66"/>
      <c r="N197" s="66"/>
      <c r="O197" s="66"/>
      <c r="P197" s="66"/>
      <c r="Q197" s="66"/>
      <c r="R197" s="66"/>
      <c r="S197" s="66"/>
      <c r="T197" s="66"/>
    </row>
    <row r="198" spans="1:20" s="4" customFormat="1" ht="25.5" x14ac:dyDescent="0.25">
      <c r="A198" s="24" t="s">
        <v>991</v>
      </c>
      <c r="B198" s="53">
        <v>902</v>
      </c>
      <c r="C198" s="48" t="s">
        <v>30</v>
      </c>
      <c r="D198" s="48" t="s">
        <v>27</v>
      </c>
      <c r="E198" s="48" t="s">
        <v>990</v>
      </c>
      <c r="F198" s="48"/>
      <c r="G198" s="119">
        <f>G199</f>
        <v>7217.5</v>
      </c>
      <c r="H198" s="119">
        <f t="shared" ref="H198:I199" si="62">H199</f>
        <v>0</v>
      </c>
      <c r="I198" s="119">
        <f t="shared" si="62"/>
        <v>0</v>
      </c>
      <c r="J198" s="139"/>
      <c r="K198" s="139"/>
      <c r="L198" s="139"/>
      <c r="M198" s="66"/>
      <c r="N198" s="66"/>
      <c r="O198" s="66"/>
      <c r="P198" s="66"/>
      <c r="Q198" s="66"/>
      <c r="R198" s="66"/>
      <c r="S198" s="66"/>
      <c r="T198" s="66"/>
    </row>
    <row r="199" spans="1:20" s="4" customFormat="1" x14ac:dyDescent="0.25">
      <c r="A199" s="24" t="s">
        <v>993</v>
      </c>
      <c r="B199" s="53">
        <v>902</v>
      </c>
      <c r="C199" s="48" t="s">
        <v>30</v>
      </c>
      <c r="D199" s="48" t="s">
        <v>27</v>
      </c>
      <c r="E199" s="48" t="s">
        <v>992</v>
      </c>
      <c r="F199" s="48"/>
      <c r="G199" s="119">
        <f>G200</f>
        <v>7217.5</v>
      </c>
      <c r="H199" s="119">
        <f t="shared" si="62"/>
        <v>0</v>
      </c>
      <c r="I199" s="119">
        <f t="shared" si="62"/>
        <v>0</v>
      </c>
      <c r="J199" s="139"/>
      <c r="K199" s="139"/>
      <c r="L199" s="139"/>
      <c r="M199" s="66"/>
      <c r="N199" s="66"/>
      <c r="O199" s="66"/>
      <c r="P199" s="66"/>
      <c r="Q199" s="66"/>
      <c r="R199" s="66"/>
      <c r="S199" s="66"/>
      <c r="T199" s="66"/>
    </row>
    <row r="200" spans="1:20" s="4" customFormat="1" ht="25.5" x14ac:dyDescent="0.25">
      <c r="A200" s="24" t="s">
        <v>64</v>
      </c>
      <c r="B200" s="53">
        <v>902</v>
      </c>
      <c r="C200" s="48" t="s">
        <v>30</v>
      </c>
      <c r="D200" s="48" t="s">
        <v>27</v>
      </c>
      <c r="E200" s="48" t="s">
        <v>992</v>
      </c>
      <c r="F200" s="48" t="s">
        <v>65</v>
      </c>
      <c r="G200" s="119">
        <f>256+232.2+4098.4+2630.9</f>
        <v>7217.5</v>
      </c>
      <c r="H200" s="119">
        <v>0</v>
      </c>
      <c r="I200" s="119">
        <v>0</v>
      </c>
      <c r="J200" s="139"/>
      <c r="K200" s="139"/>
      <c r="L200" s="139"/>
      <c r="M200" s="66"/>
      <c r="N200" s="66"/>
      <c r="O200" s="66"/>
      <c r="P200" s="66"/>
      <c r="Q200" s="66"/>
      <c r="R200" s="66"/>
      <c r="S200" s="66"/>
      <c r="T200" s="66"/>
    </row>
    <row r="201" spans="1:20" s="4" customFormat="1" ht="29.25" customHeight="1" x14ac:dyDescent="0.25">
      <c r="A201" s="24" t="s">
        <v>82</v>
      </c>
      <c r="B201" s="53">
        <v>902</v>
      </c>
      <c r="C201" s="48" t="s">
        <v>30</v>
      </c>
      <c r="D201" s="48" t="s">
        <v>84</v>
      </c>
      <c r="E201" s="48" t="s">
        <v>105</v>
      </c>
      <c r="F201" s="48"/>
      <c r="G201" s="119">
        <f>G202</f>
        <v>400.5</v>
      </c>
      <c r="H201" s="119">
        <f t="shared" ref="H201:I201" si="63">H202</f>
        <v>400.5</v>
      </c>
      <c r="I201" s="119">
        <f t="shared" si="63"/>
        <v>400.5</v>
      </c>
      <c r="J201" s="139"/>
      <c r="K201" s="139"/>
      <c r="L201" s="139"/>
      <c r="M201" s="66"/>
      <c r="N201" s="66"/>
      <c r="O201" s="66"/>
      <c r="P201" s="66"/>
      <c r="Q201" s="66"/>
      <c r="R201" s="66"/>
      <c r="S201" s="66"/>
      <c r="T201" s="66"/>
    </row>
    <row r="202" spans="1:20" s="4" customFormat="1" ht="45" customHeight="1" x14ac:dyDescent="0.25">
      <c r="A202" s="24" t="s">
        <v>244</v>
      </c>
      <c r="B202" s="53">
        <v>902</v>
      </c>
      <c r="C202" s="48" t="s">
        <v>30</v>
      </c>
      <c r="D202" s="48" t="s">
        <v>84</v>
      </c>
      <c r="E202" s="48" t="s">
        <v>245</v>
      </c>
      <c r="F202" s="48"/>
      <c r="G202" s="119">
        <f>G203</f>
        <v>400.5</v>
      </c>
      <c r="H202" s="119">
        <f>H203</f>
        <v>400.5</v>
      </c>
      <c r="I202" s="121">
        <f>I203</f>
        <v>400.5</v>
      </c>
      <c r="J202" s="139"/>
      <c r="K202" s="139"/>
      <c r="L202" s="139"/>
      <c r="M202" s="66"/>
      <c r="N202" s="66"/>
      <c r="O202" s="66"/>
      <c r="P202" s="66"/>
      <c r="Q202" s="66"/>
      <c r="R202" s="66"/>
      <c r="S202" s="66"/>
      <c r="T202" s="66"/>
    </row>
    <row r="203" spans="1:20" s="4" customFormat="1" ht="31.5" customHeight="1" x14ac:dyDescent="0.25">
      <c r="A203" s="24" t="s">
        <v>64</v>
      </c>
      <c r="B203" s="53">
        <v>902</v>
      </c>
      <c r="C203" s="48" t="s">
        <v>30</v>
      </c>
      <c r="D203" s="48" t="s">
        <v>84</v>
      </c>
      <c r="E203" s="48" t="s">
        <v>245</v>
      </c>
      <c r="F203" s="48" t="s">
        <v>65</v>
      </c>
      <c r="G203" s="119">
        <v>400.5</v>
      </c>
      <c r="H203" s="119">
        <v>400.5</v>
      </c>
      <c r="I203" s="119">
        <v>400.5</v>
      </c>
      <c r="J203" s="139"/>
      <c r="K203" s="139"/>
      <c r="L203" s="139"/>
      <c r="M203" s="66"/>
      <c r="N203" s="66"/>
      <c r="O203" s="66"/>
      <c r="P203" s="66"/>
      <c r="Q203" s="66"/>
      <c r="R203" s="66"/>
      <c r="S203" s="66"/>
      <c r="T203" s="66"/>
    </row>
    <row r="204" spans="1:20" s="6" customFormat="1" ht="25.5" x14ac:dyDescent="0.25">
      <c r="A204" s="24" t="s">
        <v>164</v>
      </c>
      <c r="B204" s="53">
        <v>902</v>
      </c>
      <c r="C204" s="48" t="s">
        <v>30</v>
      </c>
      <c r="D204" s="48" t="s">
        <v>84</v>
      </c>
      <c r="E204" s="48" t="s">
        <v>101</v>
      </c>
      <c r="F204" s="48"/>
      <c r="G204" s="119">
        <f>G205</f>
        <v>3457</v>
      </c>
      <c r="H204" s="119">
        <f t="shared" ref="H204:I204" si="64">H205</f>
        <v>3457</v>
      </c>
      <c r="I204" s="119">
        <f t="shared" si="64"/>
        <v>3457</v>
      </c>
      <c r="J204" s="239"/>
      <c r="K204" s="239"/>
      <c r="L204" s="239"/>
      <c r="M204" s="67"/>
      <c r="N204" s="67"/>
      <c r="O204" s="67"/>
      <c r="P204" s="67"/>
      <c r="Q204" s="67"/>
      <c r="R204" s="67"/>
      <c r="S204" s="67"/>
      <c r="T204" s="67"/>
    </row>
    <row r="205" spans="1:20" s="6" customFormat="1" ht="51" x14ac:dyDescent="0.25">
      <c r="A205" s="24" t="s">
        <v>329</v>
      </c>
      <c r="B205" s="53">
        <v>902</v>
      </c>
      <c r="C205" s="48" t="s">
        <v>30</v>
      </c>
      <c r="D205" s="48" t="s">
        <v>84</v>
      </c>
      <c r="E205" s="48" t="s">
        <v>232</v>
      </c>
      <c r="F205" s="48"/>
      <c r="G205" s="119">
        <f t="shared" ref="G205:I205" si="65">G206</f>
        <v>3457</v>
      </c>
      <c r="H205" s="119">
        <f t="shared" si="65"/>
        <v>3457</v>
      </c>
      <c r="I205" s="119">
        <f t="shared" si="65"/>
        <v>3457</v>
      </c>
      <c r="J205" s="159"/>
      <c r="K205" s="162"/>
      <c r="L205" s="162"/>
      <c r="M205" s="67"/>
      <c r="N205" s="67"/>
      <c r="O205" s="67"/>
      <c r="P205" s="67"/>
      <c r="Q205" s="67"/>
      <c r="R205" s="67"/>
      <c r="S205" s="67"/>
      <c r="T205" s="67"/>
    </row>
    <row r="206" spans="1:20" s="6" customFormat="1" ht="25.5" x14ac:dyDescent="0.25">
      <c r="A206" s="24" t="s">
        <v>64</v>
      </c>
      <c r="B206" s="53">
        <v>902</v>
      </c>
      <c r="C206" s="48" t="s">
        <v>30</v>
      </c>
      <c r="D206" s="48" t="s">
        <v>84</v>
      </c>
      <c r="E206" s="48" t="s">
        <v>232</v>
      </c>
      <c r="F206" s="48" t="s">
        <v>65</v>
      </c>
      <c r="G206" s="119">
        <v>3457</v>
      </c>
      <c r="H206" s="119">
        <v>3457</v>
      </c>
      <c r="I206" s="119">
        <v>3457</v>
      </c>
      <c r="J206" s="184"/>
      <c r="K206" s="184"/>
      <c r="L206" s="184"/>
      <c r="M206" s="67"/>
      <c r="N206" s="67"/>
      <c r="O206" s="67"/>
      <c r="P206" s="67"/>
      <c r="Q206" s="67"/>
      <c r="R206" s="67"/>
      <c r="S206" s="67"/>
      <c r="T206" s="67"/>
    </row>
    <row r="207" spans="1:20" s="6" customFormat="1" ht="25.5" x14ac:dyDescent="0.25">
      <c r="A207" s="24" t="s">
        <v>321</v>
      </c>
      <c r="B207" s="53">
        <v>902</v>
      </c>
      <c r="C207" s="48" t="s">
        <v>30</v>
      </c>
      <c r="D207" s="48" t="s">
        <v>27</v>
      </c>
      <c r="E207" s="48" t="s">
        <v>322</v>
      </c>
      <c r="F207" s="48"/>
      <c r="G207" s="119">
        <f>G208+G213+G211</f>
        <v>15078.5</v>
      </c>
      <c r="H207" s="119">
        <f t="shared" ref="H207:I207" si="66">H208+H213+H211</f>
        <v>0</v>
      </c>
      <c r="I207" s="119">
        <f t="shared" si="66"/>
        <v>0</v>
      </c>
      <c r="J207" s="184"/>
      <c r="K207" s="184"/>
      <c r="L207" s="184"/>
      <c r="M207" s="67"/>
      <c r="N207" s="67"/>
      <c r="O207" s="67"/>
      <c r="P207" s="67"/>
      <c r="Q207" s="67"/>
      <c r="R207" s="67"/>
      <c r="S207" s="67"/>
      <c r="T207" s="67"/>
    </row>
    <row r="208" spans="1:20" s="6" customFormat="1" x14ac:dyDescent="0.25">
      <c r="A208" s="24" t="s">
        <v>133</v>
      </c>
      <c r="B208" s="53">
        <v>902</v>
      </c>
      <c r="C208" s="48" t="s">
        <v>30</v>
      </c>
      <c r="D208" s="48" t="s">
        <v>27</v>
      </c>
      <c r="E208" s="48" t="s">
        <v>862</v>
      </c>
      <c r="F208" s="48"/>
      <c r="G208" s="119">
        <f>G210+G209</f>
        <v>8416.7999999999993</v>
      </c>
      <c r="H208" s="119">
        <f t="shared" ref="H208:I208" si="67">H210+H209</f>
        <v>0</v>
      </c>
      <c r="I208" s="119">
        <f t="shared" si="67"/>
        <v>0</v>
      </c>
      <c r="J208" s="184"/>
      <c r="K208" s="184"/>
      <c r="L208" s="184"/>
      <c r="M208" s="67"/>
      <c r="N208" s="67"/>
      <c r="O208" s="67"/>
      <c r="P208" s="67"/>
      <c r="Q208" s="67"/>
      <c r="R208" s="67"/>
      <c r="S208" s="67"/>
      <c r="T208" s="67"/>
    </row>
    <row r="209" spans="1:20" s="6" customFormat="1" ht="25.5" x14ac:dyDescent="0.25">
      <c r="A209" s="24" t="s">
        <v>226</v>
      </c>
      <c r="B209" s="53">
        <v>902</v>
      </c>
      <c r="C209" s="48" t="s">
        <v>30</v>
      </c>
      <c r="D209" s="48" t="s">
        <v>27</v>
      </c>
      <c r="E209" s="48" t="s">
        <v>862</v>
      </c>
      <c r="F209" s="48" t="s">
        <v>59</v>
      </c>
      <c r="G209" s="119">
        <v>978</v>
      </c>
      <c r="H209" s="119">
        <v>0</v>
      </c>
      <c r="I209" s="119">
        <v>0</v>
      </c>
      <c r="J209" s="184"/>
      <c r="K209" s="184"/>
      <c r="L209" s="184"/>
      <c r="M209" s="67"/>
      <c r="N209" s="67"/>
      <c r="O209" s="67"/>
      <c r="P209" s="67"/>
      <c r="Q209" s="67"/>
      <c r="R209" s="67"/>
      <c r="S209" s="67"/>
      <c r="T209" s="67"/>
    </row>
    <row r="210" spans="1:20" s="6" customFormat="1" ht="25.5" x14ac:dyDescent="0.25">
      <c r="A210" s="24" t="s">
        <v>64</v>
      </c>
      <c r="B210" s="53">
        <v>902</v>
      </c>
      <c r="C210" s="48" t="s">
        <v>30</v>
      </c>
      <c r="D210" s="48" t="s">
        <v>27</v>
      </c>
      <c r="E210" s="48" t="s">
        <v>862</v>
      </c>
      <c r="F210" s="48" t="s">
        <v>65</v>
      </c>
      <c r="G210" s="119">
        <f>4004+731.2+666.9+56.8+117.3+53.5+24.8+140.2+1644.1</f>
        <v>7438.7999999999993</v>
      </c>
      <c r="H210" s="119">
        <v>0</v>
      </c>
      <c r="I210" s="119">
        <v>0</v>
      </c>
      <c r="J210" s="184"/>
      <c r="K210" s="184"/>
      <c r="L210" s="184"/>
      <c r="M210" s="67"/>
      <c r="N210" s="67"/>
      <c r="O210" s="67"/>
      <c r="P210" s="67"/>
      <c r="Q210" s="67"/>
      <c r="R210" s="67"/>
      <c r="S210" s="67"/>
      <c r="T210" s="67"/>
    </row>
    <row r="211" spans="1:20" s="6" customFormat="1" ht="25.5" x14ac:dyDescent="0.25">
      <c r="A211" s="24" t="s">
        <v>871</v>
      </c>
      <c r="B211" s="53">
        <v>902</v>
      </c>
      <c r="C211" s="48" t="s">
        <v>30</v>
      </c>
      <c r="D211" s="48" t="s">
        <v>27</v>
      </c>
      <c r="E211" s="48" t="s">
        <v>870</v>
      </c>
      <c r="F211" s="48"/>
      <c r="G211" s="119">
        <f>G212</f>
        <v>5121.7</v>
      </c>
      <c r="H211" s="119">
        <f t="shared" ref="H211:I211" si="68">H212</f>
        <v>0</v>
      </c>
      <c r="I211" s="119">
        <f t="shared" si="68"/>
        <v>0</v>
      </c>
      <c r="J211" s="184"/>
      <c r="K211" s="184"/>
      <c r="L211" s="184"/>
      <c r="M211" s="67"/>
      <c r="N211" s="67"/>
      <c r="O211" s="67"/>
      <c r="P211" s="67"/>
      <c r="Q211" s="67"/>
      <c r="R211" s="67"/>
      <c r="S211" s="67"/>
      <c r="T211" s="67"/>
    </row>
    <row r="212" spans="1:20" s="6" customFormat="1" ht="25.5" x14ac:dyDescent="0.25">
      <c r="A212" s="24" t="s">
        <v>64</v>
      </c>
      <c r="B212" s="53">
        <v>902</v>
      </c>
      <c r="C212" s="48" t="s">
        <v>30</v>
      </c>
      <c r="D212" s="48" t="s">
        <v>27</v>
      </c>
      <c r="E212" s="48" t="s">
        <v>870</v>
      </c>
      <c r="F212" s="48" t="s">
        <v>65</v>
      </c>
      <c r="G212" s="119">
        <v>5121.7</v>
      </c>
      <c r="H212" s="119">
        <v>0</v>
      </c>
      <c r="I212" s="119">
        <v>0</v>
      </c>
      <c r="J212" s="184"/>
      <c r="K212" s="184"/>
      <c r="L212" s="184"/>
      <c r="M212" s="67"/>
      <c r="N212" s="67"/>
      <c r="O212" s="67"/>
      <c r="P212" s="67"/>
      <c r="Q212" s="67"/>
      <c r="R212" s="67"/>
      <c r="S212" s="67"/>
      <c r="T212" s="67"/>
    </row>
    <row r="213" spans="1:20" s="6" customFormat="1" ht="38.25" x14ac:dyDescent="0.25">
      <c r="A213" s="24" t="s">
        <v>889</v>
      </c>
      <c r="B213" s="53">
        <v>902</v>
      </c>
      <c r="C213" s="48" t="s">
        <v>30</v>
      </c>
      <c r="D213" s="48" t="s">
        <v>27</v>
      </c>
      <c r="E213" s="48" t="s">
        <v>890</v>
      </c>
      <c r="F213" s="48"/>
      <c r="G213" s="119">
        <f>G214</f>
        <v>1540</v>
      </c>
      <c r="H213" s="119">
        <f t="shared" ref="H213:I213" si="69">H214</f>
        <v>0</v>
      </c>
      <c r="I213" s="119">
        <f t="shared" si="69"/>
        <v>0</v>
      </c>
      <c r="J213" s="184"/>
      <c r="K213" s="184"/>
      <c r="L213" s="184"/>
      <c r="M213" s="67"/>
      <c r="N213" s="67"/>
      <c r="O213" s="67"/>
      <c r="P213" s="67"/>
      <c r="Q213" s="67"/>
      <c r="R213" s="67"/>
      <c r="S213" s="67"/>
      <c r="T213" s="67"/>
    </row>
    <row r="214" spans="1:20" s="6" customFormat="1" ht="25.5" x14ac:dyDescent="0.25">
      <c r="A214" s="24" t="s">
        <v>64</v>
      </c>
      <c r="B214" s="53">
        <v>902</v>
      </c>
      <c r="C214" s="48" t="s">
        <v>30</v>
      </c>
      <c r="D214" s="48" t="s">
        <v>27</v>
      </c>
      <c r="E214" s="48" t="s">
        <v>890</v>
      </c>
      <c r="F214" s="48" t="s">
        <v>65</v>
      </c>
      <c r="G214" s="119">
        <v>1540</v>
      </c>
      <c r="H214" s="119">
        <v>0</v>
      </c>
      <c r="I214" s="119">
        <v>0</v>
      </c>
      <c r="J214" s="184"/>
      <c r="K214" s="184"/>
      <c r="L214" s="184"/>
      <c r="M214" s="67"/>
      <c r="N214" s="67"/>
      <c r="O214" s="67"/>
      <c r="P214" s="67"/>
      <c r="Q214" s="67"/>
      <c r="R214" s="67"/>
      <c r="S214" s="67"/>
      <c r="T214" s="67"/>
    </row>
    <row r="215" spans="1:20" s="6" customFormat="1" x14ac:dyDescent="0.25">
      <c r="A215" s="24" t="s">
        <v>305</v>
      </c>
      <c r="B215" s="53">
        <v>902</v>
      </c>
      <c r="C215" s="48" t="s">
        <v>30</v>
      </c>
      <c r="D215" s="48" t="s">
        <v>28</v>
      </c>
      <c r="E215" s="48"/>
      <c r="F215" s="48"/>
      <c r="G215" s="119">
        <f>G216+G247</f>
        <v>80444</v>
      </c>
      <c r="H215" s="119">
        <f>H216+H247</f>
        <v>85572.799999999988</v>
      </c>
      <c r="I215" s="119">
        <f>I216+I247</f>
        <v>89296.999999999985</v>
      </c>
      <c r="J215" s="239"/>
      <c r="K215" s="239"/>
      <c r="L215" s="239"/>
      <c r="M215" s="67"/>
      <c r="N215" s="67"/>
      <c r="O215" s="67"/>
      <c r="P215" s="67"/>
      <c r="Q215" s="67"/>
      <c r="R215" s="67"/>
      <c r="S215" s="67"/>
      <c r="T215" s="67"/>
    </row>
    <row r="216" spans="1:20" s="6" customFormat="1" ht="25.5" x14ac:dyDescent="0.25">
      <c r="A216" s="24" t="s">
        <v>541</v>
      </c>
      <c r="B216" s="53">
        <v>902</v>
      </c>
      <c r="C216" s="48" t="s">
        <v>30</v>
      </c>
      <c r="D216" s="48" t="s">
        <v>28</v>
      </c>
      <c r="E216" s="48" t="s">
        <v>102</v>
      </c>
      <c r="F216" s="48"/>
      <c r="G216" s="119">
        <f>G217</f>
        <v>80379.199999999997</v>
      </c>
      <c r="H216" s="119">
        <f t="shared" ref="H216:I216" si="70">H217</f>
        <v>85572.799999999988</v>
      </c>
      <c r="I216" s="119">
        <f t="shared" si="70"/>
        <v>89296.999999999985</v>
      </c>
      <c r="J216" s="239"/>
      <c r="K216" s="239"/>
      <c r="L216" s="239"/>
      <c r="M216" s="67"/>
      <c r="N216" s="67"/>
      <c r="O216" s="67"/>
      <c r="P216" s="67"/>
      <c r="Q216" s="67"/>
      <c r="R216" s="67"/>
      <c r="S216" s="67"/>
      <c r="T216" s="67"/>
    </row>
    <row r="217" spans="1:20" s="6" customFormat="1" x14ac:dyDescent="0.25">
      <c r="A217" s="24" t="s">
        <v>743</v>
      </c>
      <c r="B217" s="53">
        <v>902</v>
      </c>
      <c r="C217" s="48" t="s">
        <v>30</v>
      </c>
      <c r="D217" s="48" t="s">
        <v>205</v>
      </c>
      <c r="E217" s="48" t="s">
        <v>110</v>
      </c>
      <c r="F217" s="48"/>
      <c r="G217" s="119">
        <f>G218+G241+G237+G244</f>
        <v>80379.199999999997</v>
      </c>
      <c r="H217" s="119">
        <f>H218+H241+H237</f>
        <v>85572.799999999988</v>
      </c>
      <c r="I217" s="119">
        <f>I218+I241+I237</f>
        <v>89296.999999999985</v>
      </c>
      <c r="J217" s="239"/>
      <c r="K217" s="239"/>
      <c r="L217" s="239"/>
      <c r="M217" s="67"/>
      <c r="N217" s="67"/>
      <c r="O217" s="67"/>
      <c r="P217" s="67"/>
      <c r="Q217" s="67"/>
      <c r="R217" s="67"/>
      <c r="S217" s="67"/>
      <c r="T217" s="67"/>
    </row>
    <row r="218" spans="1:20" s="6" customFormat="1" ht="32.25" customHeight="1" x14ac:dyDescent="0.25">
      <c r="A218" s="24" t="s">
        <v>744</v>
      </c>
      <c r="B218" s="53">
        <v>902</v>
      </c>
      <c r="C218" s="48" t="s">
        <v>30</v>
      </c>
      <c r="D218" s="48" t="s">
        <v>28</v>
      </c>
      <c r="E218" s="48" t="s">
        <v>111</v>
      </c>
      <c r="F218" s="48"/>
      <c r="G218" s="119">
        <f>G219+G230+G232</f>
        <v>29121.599999999999</v>
      </c>
      <c r="H218" s="119">
        <f>H219+H230+H232</f>
        <v>61802.5</v>
      </c>
      <c r="I218" s="119">
        <f t="shared" ref="I218" si="71">I219+I230</f>
        <v>64364.69999999999</v>
      </c>
      <c r="J218" s="239"/>
      <c r="K218" s="239"/>
      <c r="L218" s="239"/>
      <c r="M218" s="67"/>
      <c r="N218" s="67"/>
      <c r="O218" s="67"/>
      <c r="P218" s="67"/>
      <c r="Q218" s="67"/>
      <c r="R218" s="67"/>
      <c r="S218" s="67"/>
      <c r="T218" s="67"/>
    </row>
    <row r="219" spans="1:20" s="6" customFormat="1" ht="30.75" customHeight="1" x14ac:dyDescent="0.25">
      <c r="A219" s="24" t="s">
        <v>242</v>
      </c>
      <c r="B219" s="53">
        <v>902</v>
      </c>
      <c r="C219" s="48" t="s">
        <v>30</v>
      </c>
      <c r="D219" s="48" t="s">
        <v>28</v>
      </c>
      <c r="E219" s="48" t="s">
        <v>261</v>
      </c>
      <c r="F219" s="48"/>
      <c r="G219" s="119">
        <f>G220+G222+G224+G228+G226</f>
        <v>23369</v>
      </c>
      <c r="H219" s="119">
        <f t="shared" ref="H219:I219" si="72">H220+H222+H224+H228+H226</f>
        <v>61605.5</v>
      </c>
      <c r="I219" s="119">
        <f t="shared" si="72"/>
        <v>64167.69999999999</v>
      </c>
      <c r="J219" s="239"/>
      <c r="K219" s="239"/>
      <c r="L219" s="239"/>
      <c r="M219" s="67"/>
      <c r="N219" s="67"/>
      <c r="O219" s="67"/>
      <c r="P219" s="67"/>
      <c r="Q219" s="67"/>
      <c r="R219" s="67"/>
      <c r="S219" s="67"/>
      <c r="T219" s="67"/>
    </row>
    <row r="220" spans="1:20" s="6" customFormat="1" ht="38.25" x14ac:dyDescent="0.25">
      <c r="A220" s="24" t="s">
        <v>354</v>
      </c>
      <c r="B220" s="53">
        <v>902</v>
      </c>
      <c r="C220" s="48" t="s">
        <v>30</v>
      </c>
      <c r="D220" s="48" t="s">
        <v>28</v>
      </c>
      <c r="E220" s="48" t="s">
        <v>368</v>
      </c>
      <c r="F220" s="48"/>
      <c r="G220" s="119">
        <f>G221</f>
        <v>18462.000000000004</v>
      </c>
      <c r="H220" s="119">
        <f>H221</f>
        <v>56616</v>
      </c>
      <c r="I220" s="119">
        <f>I221</f>
        <v>59090.899999999994</v>
      </c>
      <c r="J220" s="27"/>
      <c r="K220" s="27"/>
      <c r="L220" s="27"/>
      <c r="M220" s="67"/>
      <c r="N220" s="67"/>
      <c r="O220" s="67"/>
      <c r="P220" s="67"/>
      <c r="Q220" s="67"/>
      <c r="R220" s="67"/>
      <c r="S220" s="67"/>
      <c r="T220" s="67"/>
    </row>
    <row r="221" spans="1:20" s="6" customFormat="1" ht="29.25" customHeight="1" x14ac:dyDescent="0.25">
      <c r="A221" s="24" t="s">
        <v>64</v>
      </c>
      <c r="B221" s="53">
        <v>902</v>
      </c>
      <c r="C221" s="48" t="s">
        <v>30</v>
      </c>
      <c r="D221" s="48" t="s">
        <v>28</v>
      </c>
      <c r="E221" s="48" t="s">
        <v>368</v>
      </c>
      <c r="F221" s="48" t="s">
        <v>65</v>
      </c>
      <c r="G221" s="119">
        <f>49450.4-555.6-30432.8</f>
        <v>18462.000000000004</v>
      </c>
      <c r="H221" s="119">
        <f>59801.4-3185.4</f>
        <v>56616</v>
      </c>
      <c r="I221" s="119">
        <f>63449.7-4358.8</f>
        <v>59090.899999999994</v>
      </c>
      <c r="J221" s="27"/>
      <c r="K221" s="27"/>
      <c r="L221" s="27"/>
      <c r="M221" s="67"/>
      <c r="N221" s="67"/>
      <c r="O221" s="67"/>
      <c r="P221" s="67"/>
      <c r="Q221" s="67"/>
      <c r="R221" s="67"/>
      <c r="S221" s="67"/>
      <c r="T221" s="67"/>
    </row>
    <row r="222" spans="1:20" s="6" customFormat="1" ht="29.25" customHeight="1" x14ac:dyDescent="0.25">
      <c r="A222" s="24" t="s">
        <v>361</v>
      </c>
      <c r="B222" s="53">
        <v>902</v>
      </c>
      <c r="C222" s="48" t="s">
        <v>30</v>
      </c>
      <c r="D222" s="48" t="s">
        <v>28</v>
      </c>
      <c r="E222" s="48" t="s">
        <v>369</v>
      </c>
      <c r="F222" s="48"/>
      <c r="G222" s="119">
        <f>G223</f>
        <v>2112.6</v>
      </c>
      <c r="H222" s="119">
        <f>H223</f>
        <v>2159.4</v>
      </c>
      <c r="I222" s="119">
        <f>I223</f>
        <v>2246.6</v>
      </c>
      <c r="J222" s="239"/>
      <c r="K222" s="239"/>
      <c r="L222" s="239"/>
      <c r="M222" s="67"/>
      <c r="N222" s="67"/>
      <c r="O222" s="67"/>
      <c r="P222" s="67"/>
      <c r="Q222" s="67"/>
      <c r="R222" s="67"/>
      <c r="S222" s="67"/>
      <c r="T222" s="67"/>
    </row>
    <row r="223" spans="1:20" s="6" customFormat="1" ht="29.25" customHeight="1" x14ac:dyDescent="0.25">
      <c r="A223" s="24" t="s">
        <v>64</v>
      </c>
      <c r="B223" s="53">
        <v>902</v>
      </c>
      <c r="C223" s="48" t="s">
        <v>30</v>
      </c>
      <c r="D223" s="48" t="s">
        <v>28</v>
      </c>
      <c r="E223" s="48" t="s">
        <v>369</v>
      </c>
      <c r="F223" s="48" t="s">
        <v>65</v>
      </c>
      <c r="G223" s="119">
        <f>2076.9+35.7</f>
        <v>2112.6</v>
      </c>
      <c r="H223" s="119">
        <v>2159.4</v>
      </c>
      <c r="I223" s="119">
        <v>2246.6</v>
      </c>
      <c r="J223" s="239"/>
      <c r="K223" s="239"/>
      <c r="L223" s="239"/>
      <c r="M223" s="67"/>
      <c r="N223" s="67"/>
      <c r="O223" s="67"/>
      <c r="P223" s="67"/>
      <c r="Q223" s="67"/>
      <c r="R223" s="67"/>
      <c r="S223" s="67"/>
      <c r="T223" s="67"/>
    </row>
    <row r="224" spans="1:20" s="6" customFormat="1" ht="29.25" customHeight="1" x14ac:dyDescent="0.25">
      <c r="A224" s="24" t="s">
        <v>356</v>
      </c>
      <c r="B224" s="53">
        <v>902</v>
      </c>
      <c r="C224" s="48" t="s">
        <v>30</v>
      </c>
      <c r="D224" s="48" t="s">
        <v>28</v>
      </c>
      <c r="E224" s="48" t="s">
        <v>370</v>
      </c>
      <c r="F224" s="48"/>
      <c r="G224" s="119">
        <f>G225</f>
        <v>306.10000000000002</v>
      </c>
      <c r="H224" s="119">
        <f>H225</f>
        <v>306.10000000000002</v>
      </c>
      <c r="I224" s="119">
        <f>I225</f>
        <v>306.10000000000002</v>
      </c>
      <c r="J224" s="239"/>
      <c r="K224" s="239"/>
      <c r="L224" s="239"/>
      <c r="M224" s="67"/>
      <c r="N224" s="67"/>
      <c r="O224" s="67"/>
      <c r="P224" s="67"/>
      <c r="Q224" s="67"/>
      <c r="R224" s="67"/>
      <c r="S224" s="67"/>
      <c r="T224" s="67"/>
    </row>
    <row r="225" spans="1:20" s="6" customFormat="1" ht="29.25" customHeight="1" x14ac:dyDescent="0.25">
      <c r="A225" s="24" t="s">
        <v>64</v>
      </c>
      <c r="B225" s="53">
        <v>902</v>
      </c>
      <c r="C225" s="48" t="s">
        <v>30</v>
      </c>
      <c r="D225" s="48" t="s">
        <v>28</v>
      </c>
      <c r="E225" s="48" t="s">
        <v>370</v>
      </c>
      <c r="F225" s="48" t="s">
        <v>65</v>
      </c>
      <c r="G225" s="119">
        <v>306.10000000000002</v>
      </c>
      <c r="H225" s="119">
        <v>306.10000000000002</v>
      </c>
      <c r="I225" s="119">
        <v>306.10000000000002</v>
      </c>
      <c r="J225" s="185"/>
      <c r="K225" s="239"/>
      <c r="L225" s="239"/>
      <c r="M225" s="67"/>
      <c r="N225" s="67"/>
      <c r="O225" s="67"/>
      <c r="P225" s="67"/>
      <c r="Q225" s="67"/>
      <c r="R225" s="67"/>
      <c r="S225" s="67"/>
      <c r="T225" s="67"/>
    </row>
    <row r="226" spans="1:20" s="6" customFormat="1" ht="25.5" x14ac:dyDescent="0.25">
      <c r="A226" s="24" t="s">
        <v>698</v>
      </c>
      <c r="B226" s="53">
        <v>902</v>
      </c>
      <c r="C226" s="48" t="s">
        <v>30</v>
      </c>
      <c r="D226" s="48" t="s">
        <v>28</v>
      </c>
      <c r="E226" s="48" t="s">
        <v>701</v>
      </c>
      <c r="F226" s="48"/>
      <c r="G226" s="119">
        <f>G227</f>
        <v>1533</v>
      </c>
      <c r="H226" s="119">
        <f t="shared" ref="H226:I226" si="73">H227</f>
        <v>1533</v>
      </c>
      <c r="I226" s="119">
        <f t="shared" si="73"/>
        <v>1533</v>
      </c>
      <c r="J226" s="185"/>
      <c r="K226" s="239"/>
      <c r="L226" s="239"/>
      <c r="M226" s="67"/>
      <c r="N226" s="67"/>
      <c r="O226" s="67"/>
      <c r="P226" s="67"/>
      <c r="Q226" s="67"/>
      <c r="R226" s="67"/>
      <c r="S226" s="67"/>
      <c r="T226" s="67"/>
    </row>
    <row r="227" spans="1:20" s="6" customFormat="1" ht="25.5" x14ac:dyDescent="0.25">
      <c r="A227" s="24" t="s">
        <v>64</v>
      </c>
      <c r="B227" s="53">
        <v>902</v>
      </c>
      <c r="C227" s="48" t="s">
        <v>30</v>
      </c>
      <c r="D227" s="48" t="s">
        <v>28</v>
      </c>
      <c r="E227" s="48" t="s">
        <v>701</v>
      </c>
      <c r="F227" s="48" t="s">
        <v>65</v>
      </c>
      <c r="G227" s="119">
        <v>1533</v>
      </c>
      <c r="H227" s="119">
        <v>1533</v>
      </c>
      <c r="I227" s="119">
        <v>1533</v>
      </c>
      <c r="J227" s="185"/>
      <c r="K227" s="239"/>
      <c r="L227" s="239"/>
      <c r="M227" s="67"/>
      <c r="N227" s="67"/>
      <c r="O227" s="67"/>
      <c r="P227" s="67"/>
      <c r="Q227" s="67"/>
      <c r="R227" s="67"/>
      <c r="S227" s="67"/>
      <c r="T227" s="67"/>
    </row>
    <row r="228" spans="1:20" s="6" customFormat="1" ht="29.25" customHeight="1" x14ac:dyDescent="0.25">
      <c r="A228" s="24" t="s">
        <v>357</v>
      </c>
      <c r="B228" s="53">
        <v>902</v>
      </c>
      <c r="C228" s="48" t="s">
        <v>30</v>
      </c>
      <c r="D228" s="48" t="s">
        <v>28</v>
      </c>
      <c r="E228" s="48" t="s">
        <v>371</v>
      </c>
      <c r="F228" s="48"/>
      <c r="G228" s="119">
        <f>G229</f>
        <v>955.3</v>
      </c>
      <c r="H228" s="119">
        <f>H229</f>
        <v>991</v>
      </c>
      <c r="I228" s="119">
        <f>I229</f>
        <v>991.1</v>
      </c>
      <c r="J228" s="239"/>
      <c r="K228" s="239"/>
      <c r="L228" s="239"/>
      <c r="M228" s="67"/>
      <c r="N228" s="67"/>
      <c r="O228" s="67"/>
      <c r="P228" s="67"/>
      <c r="Q228" s="67"/>
      <c r="R228" s="67"/>
      <c r="S228" s="67"/>
      <c r="T228" s="67"/>
    </row>
    <row r="229" spans="1:20" s="6" customFormat="1" ht="29.25" customHeight="1" x14ac:dyDescent="0.25">
      <c r="A229" s="24" t="s">
        <v>64</v>
      </c>
      <c r="B229" s="53">
        <v>902</v>
      </c>
      <c r="C229" s="48" t="s">
        <v>30</v>
      </c>
      <c r="D229" s="48" t="s">
        <v>28</v>
      </c>
      <c r="E229" s="48" t="s">
        <v>371</v>
      </c>
      <c r="F229" s="48" t="s">
        <v>65</v>
      </c>
      <c r="G229" s="119">
        <f>991-35.7</f>
        <v>955.3</v>
      </c>
      <c r="H229" s="119">
        <v>991</v>
      </c>
      <c r="I229" s="119">
        <v>991.1</v>
      </c>
      <c r="J229" s="239"/>
      <c r="K229" s="239"/>
      <c r="L229" s="239"/>
      <c r="M229" s="67"/>
      <c r="N229" s="67"/>
      <c r="O229" s="67"/>
      <c r="P229" s="67"/>
      <c r="Q229" s="67"/>
      <c r="R229" s="67"/>
      <c r="S229" s="67"/>
      <c r="T229" s="67"/>
    </row>
    <row r="230" spans="1:20" s="6" customFormat="1" ht="76.5" x14ac:dyDescent="0.25">
      <c r="A230" s="24" t="s">
        <v>348</v>
      </c>
      <c r="B230" s="53">
        <v>902</v>
      </c>
      <c r="C230" s="48" t="s">
        <v>30</v>
      </c>
      <c r="D230" s="48" t="s">
        <v>28</v>
      </c>
      <c r="E230" s="48" t="s">
        <v>349</v>
      </c>
      <c r="F230" s="48"/>
      <c r="G230" s="119">
        <f>G231</f>
        <v>197</v>
      </c>
      <c r="H230" s="119">
        <f>H231</f>
        <v>197</v>
      </c>
      <c r="I230" s="119">
        <f>I231</f>
        <v>197</v>
      </c>
      <c r="J230" s="239"/>
      <c r="K230" s="239"/>
      <c r="L230" s="239"/>
      <c r="M230" s="67"/>
      <c r="N230" s="67"/>
      <c r="O230" s="67"/>
      <c r="P230" s="67"/>
      <c r="Q230" s="67"/>
      <c r="R230" s="67"/>
      <c r="S230" s="67"/>
      <c r="T230" s="67"/>
    </row>
    <row r="231" spans="1:20" s="6" customFormat="1" ht="24.75" customHeight="1" x14ac:dyDescent="0.25">
      <c r="A231" s="24" t="s">
        <v>64</v>
      </c>
      <c r="B231" s="53">
        <v>902</v>
      </c>
      <c r="C231" s="48" t="s">
        <v>30</v>
      </c>
      <c r="D231" s="48" t="s">
        <v>28</v>
      </c>
      <c r="E231" s="48" t="s">
        <v>349</v>
      </c>
      <c r="F231" s="48" t="s">
        <v>65</v>
      </c>
      <c r="G231" s="119">
        <v>197</v>
      </c>
      <c r="H231" s="119">
        <v>197</v>
      </c>
      <c r="I231" s="119">
        <v>197</v>
      </c>
      <c r="J231" s="239"/>
      <c r="K231" s="239"/>
      <c r="L231" s="239"/>
      <c r="M231" s="67"/>
      <c r="N231" s="67"/>
      <c r="O231" s="67"/>
      <c r="P231" s="67"/>
      <c r="Q231" s="67"/>
      <c r="R231" s="67"/>
      <c r="S231" s="67"/>
      <c r="T231" s="67"/>
    </row>
    <row r="232" spans="1:20" s="6" customFormat="1" ht="25.5" x14ac:dyDescent="0.25">
      <c r="A232" s="24" t="s">
        <v>969</v>
      </c>
      <c r="B232" s="53">
        <v>902</v>
      </c>
      <c r="C232" s="48" t="s">
        <v>30</v>
      </c>
      <c r="D232" s="48" t="s">
        <v>28</v>
      </c>
      <c r="E232" s="48" t="s">
        <v>973</v>
      </c>
      <c r="F232" s="48"/>
      <c r="G232" s="119">
        <f>G233+G235</f>
        <v>5555.6</v>
      </c>
      <c r="H232" s="119">
        <f t="shared" ref="H232:I232" si="74">H233+H235</f>
        <v>0</v>
      </c>
      <c r="I232" s="119">
        <f t="shared" si="74"/>
        <v>0</v>
      </c>
      <c r="J232" s="239"/>
      <c r="K232" s="239"/>
      <c r="L232" s="239"/>
      <c r="M232" s="67"/>
      <c r="N232" s="67"/>
      <c r="O232" s="67"/>
      <c r="P232" s="67"/>
      <c r="Q232" s="67"/>
      <c r="R232" s="67"/>
      <c r="S232" s="67"/>
      <c r="T232" s="67"/>
    </row>
    <row r="233" spans="1:20" s="6" customFormat="1" ht="25.5" x14ac:dyDescent="0.25">
      <c r="A233" s="24" t="s">
        <v>974</v>
      </c>
      <c r="B233" s="53">
        <v>902</v>
      </c>
      <c r="C233" s="48" t="s">
        <v>30</v>
      </c>
      <c r="D233" s="48" t="s">
        <v>28</v>
      </c>
      <c r="E233" s="48" t="s">
        <v>975</v>
      </c>
      <c r="F233" s="48"/>
      <c r="G233" s="119">
        <f>G234</f>
        <v>5000</v>
      </c>
      <c r="H233" s="119">
        <f t="shared" ref="H233:I233" si="75">H234</f>
        <v>0</v>
      </c>
      <c r="I233" s="119">
        <f t="shared" si="75"/>
        <v>0</v>
      </c>
      <c r="J233" s="239"/>
      <c r="K233" s="239"/>
      <c r="L233" s="239"/>
      <c r="M233" s="67"/>
      <c r="N233" s="67"/>
      <c r="O233" s="67"/>
      <c r="P233" s="67"/>
      <c r="Q233" s="67"/>
      <c r="R233" s="67"/>
      <c r="S233" s="67"/>
      <c r="T233" s="67"/>
    </row>
    <row r="234" spans="1:20" s="6" customFormat="1" ht="25.5" x14ac:dyDescent="0.25">
      <c r="A234" s="24" t="s">
        <v>64</v>
      </c>
      <c r="B234" s="53">
        <v>902</v>
      </c>
      <c r="C234" s="48" t="s">
        <v>30</v>
      </c>
      <c r="D234" s="48" t="s">
        <v>28</v>
      </c>
      <c r="E234" s="48" t="s">
        <v>975</v>
      </c>
      <c r="F234" s="48" t="s">
        <v>65</v>
      </c>
      <c r="G234" s="119">
        <v>5000</v>
      </c>
      <c r="H234" s="119">
        <v>0</v>
      </c>
      <c r="I234" s="119">
        <v>0</v>
      </c>
      <c r="J234" s="239"/>
      <c r="K234" s="239"/>
      <c r="L234" s="239"/>
      <c r="M234" s="67"/>
      <c r="N234" s="67"/>
      <c r="O234" s="67"/>
      <c r="P234" s="67"/>
      <c r="Q234" s="67"/>
      <c r="R234" s="67"/>
      <c r="S234" s="67"/>
      <c r="T234" s="67"/>
    </row>
    <row r="235" spans="1:20" s="6" customFormat="1" ht="25.5" x14ac:dyDescent="0.25">
      <c r="A235" s="24" t="s">
        <v>995</v>
      </c>
      <c r="B235" s="53">
        <v>902</v>
      </c>
      <c r="C235" s="48" t="s">
        <v>30</v>
      </c>
      <c r="D235" s="48" t="s">
        <v>28</v>
      </c>
      <c r="E235" s="48" t="s">
        <v>996</v>
      </c>
      <c r="F235" s="48"/>
      <c r="G235" s="119">
        <f>G236</f>
        <v>555.6</v>
      </c>
      <c r="H235" s="119">
        <f t="shared" ref="H235:I235" si="76">H236</f>
        <v>0</v>
      </c>
      <c r="I235" s="119">
        <f t="shared" si="76"/>
        <v>0</v>
      </c>
      <c r="J235" s="239"/>
      <c r="K235" s="239"/>
      <c r="L235" s="239"/>
      <c r="M235" s="67"/>
      <c r="N235" s="67"/>
      <c r="O235" s="67"/>
      <c r="P235" s="67"/>
      <c r="Q235" s="67"/>
      <c r="R235" s="67"/>
      <c r="S235" s="67"/>
      <c r="T235" s="67"/>
    </row>
    <row r="236" spans="1:20" s="6" customFormat="1" ht="25.5" x14ac:dyDescent="0.25">
      <c r="A236" s="24" t="s">
        <v>64</v>
      </c>
      <c r="B236" s="53">
        <v>902</v>
      </c>
      <c r="C236" s="48" t="s">
        <v>30</v>
      </c>
      <c r="D236" s="48" t="s">
        <v>28</v>
      </c>
      <c r="E236" s="48" t="s">
        <v>996</v>
      </c>
      <c r="F236" s="48" t="s">
        <v>65</v>
      </c>
      <c r="G236" s="119">
        <v>555.6</v>
      </c>
      <c r="H236" s="119">
        <v>0</v>
      </c>
      <c r="I236" s="119">
        <v>0</v>
      </c>
      <c r="J236" s="239"/>
      <c r="K236" s="239"/>
      <c r="L236" s="239"/>
      <c r="M236" s="67"/>
      <c r="N236" s="67"/>
      <c r="O236" s="67"/>
      <c r="P236" s="67"/>
      <c r="Q236" s="67"/>
      <c r="R236" s="67"/>
      <c r="S236" s="67"/>
      <c r="T236" s="67"/>
    </row>
    <row r="237" spans="1:20" s="6" customFormat="1" ht="25.5" x14ac:dyDescent="0.25">
      <c r="A237" s="24" t="s">
        <v>857</v>
      </c>
      <c r="B237" s="53">
        <v>902</v>
      </c>
      <c r="C237" s="48" t="s">
        <v>30</v>
      </c>
      <c r="D237" s="48" t="s">
        <v>28</v>
      </c>
      <c r="E237" s="48" t="s">
        <v>855</v>
      </c>
      <c r="F237" s="48"/>
      <c r="G237" s="119">
        <f>G238</f>
        <v>21982.6</v>
      </c>
      <c r="H237" s="119">
        <f t="shared" ref="H237:I237" si="77">H238</f>
        <v>23703.699999999997</v>
      </c>
      <c r="I237" s="119">
        <f t="shared" si="77"/>
        <v>24877.1</v>
      </c>
      <c r="J237" s="239"/>
      <c r="K237" s="239"/>
      <c r="L237" s="239"/>
      <c r="M237" s="67"/>
      <c r="N237" s="67"/>
      <c r="O237" s="67"/>
      <c r="P237" s="67"/>
      <c r="Q237" s="67"/>
      <c r="R237" s="67"/>
      <c r="S237" s="67"/>
      <c r="T237" s="67"/>
    </row>
    <row r="238" spans="1:20" s="6" customFormat="1" ht="25.5" x14ac:dyDescent="0.25">
      <c r="A238" s="24" t="s">
        <v>858</v>
      </c>
      <c r="B238" s="53">
        <v>902</v>
      </c>
      <c r="C238" s="48" t="s">
        <v>30</v>
      </c>
      <c r="D238" s="48" t="s">
        <v>28</v>
      </c>
      <c r="E238" s="48" t="s">
        <v>856</v>
      </c>
      <c r="F238" s="48"/>
      <c r="G238" s="119">
        <f>G239+G240</f>
        <v>21982.6</v>
      </c>
      <c r="H238" s="119">
        <f t="shared" ref="H238:I238" si="78">H239+H240</f>
        <v>23703.699999999997</v>
      </c>
      <c r="I238" s="119">
        <f t="shared" si="78"/>
        <v>24877.1</v>
      </c>
      <c r="J238" s="239"/>
      <c r="K238" s="239"/>
      <c r="L238" s="239"/>
      <c r="M238" s="67"/>
      <c r="N238" s="67"/>
      <c r="O238" s="67"/>
      <c r="P238" s="67"/>
      <c r="Q238" s="67"/>
      <c r="R238" s="67"/>
      <c r="S238" s="67"/>
      <c r="T238" s="67"/>
    </row>
    <row r="239" spans="1:20" s="6" customFormat="1" ht="24.75" customHeight="1" x14ac:dyDescent="0.25">
      <c r="A239" s="24" t="s">
        <v>64</v>
      </c>
      <c r="B239" s="53">
        <v>902</v>
      </c>
      <c r="C239" s="48" t="s">
        <v>30</v>
      </c>
      <c r="D239" s="48" t="s">
        <v>28</v>
      </c>
      <c r="E239" s="48" t="s">
        <v>856</v>
      </c>
      <c r="F239" s="48" t="s">
        <v>65</v>
      </c>
      <c r="G239" s="119">
        <f>20518.3+657.7</f>
        <v>21176</v>
      </c>
      <c r="H239" s="119">
        <f>20518.3+2331.6</f>
        <v>22849.899999999998</v>
      </c>
      <c r="I239" s="119">
        <f>20518.3+3482.3</f>
        <v>24000.6</v>
      </c>
      <c r="J239" s="239"/>
      <c r="K239" s="239"/>
      <c r="L239" s="239"/>
      <c r="M239" s="67"/>
      <c r="N239" s="67"/>
      <c r="O239" s="67"/>
      <c r="P239" s="67"/>
      <c r="Q239" s="67"/>
      <c r="R239" s="67"/>
      <c r="S239" s="67"/>
      <c r="T239" s="67"/>
    </row>
    <row r="240" spans="1:20" s="6" customFormat="1" x14ac:dyDescent="0.25">
      <c r="A240" s="24" t="s">
        <v>95</v>
      </c>
      <c r="B240" s="53">
        <v>902</v>
      </c>
      <c r="C240" s="48" t="s">
        <v>30</v>
      </c>
      <c r="D240" s="48" t="s">
        <v>28</v>
      </c>
      <c r="E240" s="48" t="s">
        <v>856</v>
      </c>
      <c r="F240" s="48" t="s">
        <v>62</v>
      </c>
      <c r="G240" s="119">
        <v>806.6</v>
      </c>
      <c r="H240" s="119">
        <v>853.8</v>
      </c>
      <c r="I240" s="119">
        <v>876.5</v>
      </c>
      <c r="J240" s="239"/>
      <c r="K240" s="239"/>
      <c r="L240" s="239"/>
      <c r="M240" s="67"/>
      <c r="N240" s="67"/>
      <c r="O240" s="67"/>
      <c r="P240" s="67"/>
      <c r="Q240" s="67"/>
      <c r="R240" s="67"/>
      <c r="S240" s="67"/>
      <c r="T240" s="67"/>
    </row>
    <row r="241" spans="1:20" s="6" customFormat="1" ht="25.5" x14ac:dyDescent="0.25">
      <c r="A241" s="24" t="s">
        <v>780</v>
      </c>
      <c r="B241" s="53">
        <v>902</v>
      </c>
      <c r="C241" s="48" t="s">
        <v>30</v>
      </c>
      <c r="D241" s="48" t="s">
        <v>28</v>
      </c>
      <c r="E241" s="48" t="s">
        <v>702</v>
      </c>
      <c r="F241" s="48"/>
      <c r="G241" s="119">
        <f>G242</f>
        <v>306.5</v>
      </c>
      <c r="H241" s="119">
        <f t="shared" ref="H241:I242" si="79">H242</f>
        <v>66.599999999999994</v>
      </c>
      <c r="I241" s="119">
        <f t="shared" si="79"/>
        <v>55.2</v>
      </c>
      <c r="J241" s="184"/>
      <c r="K241" s="184"/>
      <c r="L241" s="184"/>
      <c r="M241" s="67"/>
      <c r="N241" s="67"/>
      <c r="O241" s="67"/>
      <c r="P241" s="67"/>
      <c r="Q241" s="67"/>
      <c r="R241" s="67"/>
      <c r="S241" s="67"/>
      <c r="T241" s="67"/>
    </row>
    <row r="242" spans="1:20" s="6" customFormat="1" ht="25.5" x14ac:dyDescent="0.25">
      <c r="A242" s="24" t="s">
        <v>703</v>
      </c>
      <c r="B242" s="53">
        <v>902</v>
      </c>
      <c r="C242" s="48" t="s">
        <v>30</v>
      </c>
      <c r="D242" s="48" t="s">
        <v>28</v>
      </c>
      <c r="E242" s="48" t="s">
        <v>704</v>
      </c>
      <c r="F242" s="48"/>
      <c r="G242" s="119">
        <f>G243</f>
        <v>306.5</v>
      </c>
      <c r="H242" s="119">
        <f t="shared" si="79"/>
        <v>66.599999999999994</v>
      </c>
      <c r="I242" s="119">
        <f t="shared" si="79"/>
        <v>55.2</v>
      </c>
      <c r="J242" s="184"/>
      <c r="K242" s="184"/>
      <c r="L242" s="184"/>
      <c r="M242" s="67"/>
      <c r="N242" s="67"/>
      <c r="O242" s="67"/>
      <c r="P242" s="67"/>
      <c r="Q242" s="67"/>
      <c r="R242" s="67"/>
      <c r="S242" s="67"/>
      <c r="T242" s="67"/>
    </row>
    <row r="243" spans="1:20" s="6" customFormat="1" ht="25.5" x14ac:dyDescent="0.25">
      <c r="A243" s="24" t="s">
        <v>64</v>
      </c>
      <c r="B243" s="53">
        <v>902</v>
      </c>
      <c r="C243" s="48" t="s">
        <v>30</v>
      </c>
      <c r="D243" s="48" t="s">
        <v>28</v>
      </c>
      <c r="E243" s="48" t="s">
        <v>704</v>
      </c>
      <c r="F243" s="48" t="s">
        <v>65</v>
      </c>
      <c r="G243" s="119">
        <f>135.5+171</f>
        <v>306.5</v>
      </c>
      <c r="H243" s="119">
        <v>66.599999999999994</v>
      </c>
      <c r="I243" s="119">
        <v>55.2</v>
      </c>
      <c r="J243" s="184"/>
      <c r="K243" s="184"/>
      <c r="L243" s="184"/>
      <c r="M243" s="67"/>
      <c r="N243" s="67"/>
      <c r="O243" s="67"/>
      <c r="P243" s="67"/>
      <c r="Q243" s="67"/>
      <c r="R243" s="67"/>
      <c r="S243" s="67"/>
      <c r="T243" s="67"/>
    </row>
    <row r="244" spans="1:20" s="6" customFormat="1" ht="25.5" x14ac:dyDescent="0.25">
      <c r="A244" s="24" t="s">
        <v>1000</v>
      </c>
      <c r="B244" s="53">
        <v>902</v>
      </c>
      <c r="C244" s="48" t="s">
        <v>30</v>
      </c>
      <c r="D244" s="48" t="s">
        <v>28</v>
      </c>
      <c r="E244" s="48" t="s">
        <v>999</v>
      </c>
      <c r="F244" s="48"/>
      <c r="G244" s="119">
        <f>G245</f>
        <v>28968.5</v>
      </c>
      <c r="H244" s="119">
        <f t="shared" ref="H244:I245" si="80">H245</f>
        <v>0</v>
      </c>
      <c r="I244" s="119">
        <f t="shared" si="80"/>
        <v>0</v>
      </c>
      <c r="J244" s="184"/>
      <c r="K244" s="184"/>
      <c r="L244" s="184"/>
      <c r="M244" s="67"/>
      <c r="N244" s="67"/>
      <c r="O244" s="67"/>
      <c r="P244" s="67"/>
      <c r="Q244" s="67"/>
      <c r="R244" s="67"/>
      <c r="S244" s="67"/>
      <c r="T244" s="67"/>
    </row>
    <row r="245" spans="1:20" s="6" customFormat="1" ht="25.5" x14ac:dyDescent="0.25">
      <c r="A245" s="24" t="s">
        <v>1001</v>
      </c>
      <c r="B245" s="53">
        <v>902</v>
      </c>
      <c r="C245" s="48" t="s">
        <v>30</v>
      </c>
      <c r="D245" s="48" t="s">
        <v>28</v>
      </c>
      <c r="E245" s="48" t="s">
        <v>1002</v>
      </c>
      <c r="F245" s="48"/>
      <c r="G245" s="119">
        <f>G246</f>
        <v>28968.5</v>
      </c>
      <c r="H245" s="119">
        <f t="shared" si="80"/>
        <v>0</v>
      </c>
      <c r="I245" s="119">
        <f t="shared" si="80"/>
        <v>0</v>
      </c>
      <c r="J245" s="184"/>
      <c r="K245" s="184"/>
      <c r="L245" s="184"/>
      <c r="M245" s="67"/>
      <c r="N245" s="67"/>
      <c r="O245" s="67"/>
      <c r="P245" s="67"/>
      <c r="Q245" s="67"/>
      <c r="R245" s="67"/>
      <c r="S245" s="67"/>
      <c r="T245" s="67"/>
    </row>
    <row r="246" spans="1:20" s="6" customFormat="1" ht="25.5" x14ac:dyDescent="0.25">
      <c r="A246" s="24" t="s">
        <v>64</v>
      </c>
      <c r="B246" s="53">
        <v>902</v>
      </c>
      <c r="C246" s="48" t="s">
        <v>30</v>
      </c>
      <c r="D246" s="48" t="s">
        <v>28</v>
      </c>
      <c r="E246" s="48" t="s">
        <v>1002</v>
      </c>
      <c r="F246" s="48" t="s">
        <v>65</v>
      </c>
      <c r="G246" s="119">
        <v>28968.5</v>
      </c>
      <c r="H246" s="119">
        <v>0</v>
      </c>
      <c r="I246" s="119">
        <v>0</v>
      </c>
      <c r="J246" s="184"/>
      <c r="K246" s="184"/>
      <c r="L246" s="184"/>
      <c r="M246" s="67"/>
      <c r="N246" s="67"/>
      <c r="O246" s="67"/>
      <c r="P246" s="67"/>
      <c r="Q246" s="67"/>
      <c r="R246" s="67"/>
      <c r="S246" s="67"/>
      <c r="T246" s="67"/>
    </row>
    <row r="247" spans="1:20" s="6" customFormat="1" ht="25.5" x14ac:dyDescent="0.25">
      <c r="A247" s="24" t="s">
        <v>321</v>
      </c>
      <c r="B247" s="53">
        <v>902</v>
      </c>
      <c r="C247" s="48" t="s">
        <v>30</v>
      </c>
      <c r="D247" s="48" t="s">
        <v>28</v>
      </c>
      <c r="E247" s="48" t="s">
        <v>322</v>
      </c>
      <c r="F247" s="48"/>
      <c r="G247" s="119">
        <f>G248</f>
        <v>64.8</v>
      </c>
      <c r="H247" s="119">
        <f t="shared" ref="H247:I248" si="81">H248</f>
        <v>0</v>
      </c>
      <c r="I247" s="119">
        <f t="shared" si="81"/>
        <v>0</v>
      </c>
      <c r="J247" s="184"/>
      <c r="K247" s="184"/>
      <c r="L247" s="184"/>
      <c r="M247" s="67"/>
      <c r="N247" s="67"/>
      <c r="O247" s="67"/>
      <c r="P247" s="67"/>
      <c r="Q247" s="67"/>
      <c r="R247" s="67"/>
      <c r="S247" s="67"/>
      <c r="T247" s="67"/>
    </row>
    <row r="248" spans="1:20" s="6" customFormat="1" x14ac:dyDescent="0.25">
      <c r="A248" s="24" t="s">
        <v>997</v>
      </c>
      <c r="B248" s="53">
        <v>902</v>
      </c>
      <c r="C248" s="48" t="s">
        <v>30</v>
      </c>
      <c r="D248" s="48" t="s">
        <v>28</v>
      </c>
      <c r="E248" s="48" t="s">
        <v>998</v>
      </c>
      <c r="F248" s="48"/>
      <c r="G248" s="119">
        <f>G249</f>
        <v>64.8</v>
      </c>
      <c r="H248" s="119">
        <f t="shared" si="81"/>
        <v>0</v>
      </c>
      <c r="I248" s="119">
        <f t="shared" si="81"/>
        <v>0</v>
      </c>
      <c r="J248" s="184"/>
      <c r="K248" s="184"/>
      <c r="L248" s="184"/>
      <c r="M248" s="67"/>
      <c r="N248" s="67"/>
      <c r="O248" s="67"/>
      <c r="P248" s="67"/>
      <c r="Q248" s="67"/>
      <c r="R248" s="67"/>
      <c r="S248" s="67"/>
      <c r="T248" s="67"/>
    </row>
    <row r="249" spans="1:20" s="6" customFormat="1" ht="25.5" x14ac:dyDescent="0.25">
      <c r="A249" s="24" t="s">
        <v>64</v>
      </c>
      <c r="B249" s="53">
        <v>902</v>
      </c>
      <c r="C249" s="48" t="s">
        <v>30</v>
      </c>
      <c r="D249" s="48" t="s">
        <v>28</v>
      </c>
      <c r="E249" s="48" t="s">
        <v>998</v>
      </c>
      <c r="F249" s="48" t="s">
        <v>65</v>
      </c>
      <c r="G249" s="119">
        <v>64.8</v>
      </c>
      <c r="H249" s="119">
        <v>0</v>
      </c>
      <c r="I249" s="119">
        <v>0</v>
      </c>
      <c r="J249" s="184"/>
      <c r="K249" s="184"/>
      <c r="L249" s="184"/>
      <c r="M249" s="67"/>
      <c r="N249" s="67"/>
      <c r="O249" s="67"/>
      <c r="P249" s="67"/>
      <c r="Q249" s="67"/>
      <c r="R249" s="67"/>
      <c r="S249" s="67"/>
      <c r="T249" s="67"/>
    </row>
    <row r="250" spans="1:20" s="5" customFormat="1" ht="15" x14ac:dyDescent="0.25">
      <c r="A250" s="24" t="s">
        <v>14</v>
      </c>
      <c r="B250" s="53">
        <v>902</v>
      </c>
      <c r="C250" s="48" t="s">
        <v>30</v>
      </c>
      <c r="D250" s="48" t="s">
        <v>34</v>
      </c>
      <c r="E250" s="48"/>
      <c r="F250" s="48"/>
      <c r="G250" s="119">
        <f>G255+G306+G251+G309+G303</f>
        <v>112719.70000000001</v>
      </c>
      <c r="H250" s="119">
        <f>H255+H306+H251+H309+H303</f>
        <v>113214.1</v>
      </c>
      <c r="I250" s="119">
        <f>I255+I306+I251+I309+I303</f>
        <v>116797.30000000002</v>
      </c>
      <c r="J250" s="139"/>
      <c r="K250" s="139"/>
      <c r="L250" s="139"/>
      <c r="M250" s="139"/>
      <c r="N250" s="139"/>
      <c r="O250" s="139"/>
      <c r="P250" s="139"/>
      <c r="Q250" s="139"/>
      <c r="R250" s="139"/>
      <c r="S250" s="139"/>
      <c r="T250" s="139"/>
    </row>
    <row r="251" spans="1:20" s="5" customFormat="1" ht="25.5" x14ac:dyDescent="0.25">
      <c r="A251" s="23" t="s">
        <v>546</v>
      </c>
      <c r="B251" s="53">
        <v>902</v>
      </c>
      <c r="C251" s="48" t="s">
        <v>30</v>
      </c>
      <c r="D251" s="48" t="s">
        <v>34</v>
      </c>
      <c r="E251" s="48" t="s">
        <v>143</v>
      </c>
      <c r="F251" s="48"/>
      <c r="G251" s="119">
        <f>G252</f>
        <v>81.400000000000006</v>
      </c>
      <c r="H251" s="119">
        <f t="shared" ref="H251:I253" si="82">H252</f>
        <v>0</v>
      </c>
      <c r="I251" s="119">
        <f t="shared" si="82"/>
        <v>0</v>
      </c>
      <c r="J251" s="139"/>
      <c r="K251" s="139"/>
      <c r="L251" s="139"/>
      <c r="M251" s="139"/>
      <c r="N251" s="139"/>
      <c r="O251" s="139"/>
      <c r="P251" s="139"/>
      <c r="Q251" s="139"/>
      <c r="R251" s="139"/>
      <c r="S251" s="139"/>
      <c r="T251" s="139"/>
    </row>
    <row r="252" spans="1:20" s="5" customFormat="1" ht="38.25" x14ac:dyDescent="0.25">
      <c r="A252" s="23" t="s">
        <v>809</v>
      </c>
      <c r="B252" s="53">
        <v>902</v>
      </c>
      <c r="C252" s="48" t="s">
        <v>30</v>
      </c>
      <c r="D252" s="48" t="s">
        <v>34</v>
      </c>
      <c r="E252" s="48" t="s">
        <v>144</v>
      </c>
      <c r="F252" s="48"/>
      <c r="G252" s="119">
        <f>G253</f>
        <v>81.400000000000006</v>
      </c>
      <c r="H252" s="119">
        <f t="shared" si="82"/>
        <v>0</v>
      </c>
      <c r="I252" s="119">
        <f t="shared" si="82"/>
        <v>0</v>
      </c>
      <c r="J252" s="139"/>
      <c r="K252" s="139"/>
      <c r="L252" s="139"/>
      <c r="M252" s="139"/>
      <c r="N252" s="139"/>
      <c r="O252" s="139"/>
      <c r="P252" s="139"/>
      <c r="Q252" s="139"/>
      <c r="R252" s="139"/>
      <c r="S252" s="139"/>
      <c r="T252" s="139"/>
    </row>
    <row r="253" spans="1:20" s="5" customFormat="1" ht="38.25" x14ac:dyDescent="0.25">
      <c r="A253" s="24" t="s">
        <v>710</v>
      </c>
      <c r="B253" s="53">
        <v>902</v>
      </c>
      <c r="C253" s="48" t="s">
        <v>30</v>
      </c>
      <c r="D253" s="48" t="s">
        <v>34</v>
      </c>
      <c r="E253" s="48" t="s">
        <v>709</v>
      </c>
      <c r="F253" s="48"/>
      <c r="G253" s="119">
        <f>G254</f>
        <v>81.400000000000006</v>
      </c>
      <c r="H253" s="119">
        <f t="shared" si="82"/>
        <v>0</v>
      </c>
      <c r="I253" s="119">
        <f t="shared" si="82"/>
        <v>0</v>
      </c>
      <c r="J253" s="139"/>
      <c r="K253" s="139"/>
      <c r="L253" s="139"/>
      <c r="M253" s="139"/>
      <c r="N253" s="139"/>
      <c r="O253" s="139"/>
      <c r="P253" s="139"/>
      <c r="Q253" s="139"/>
      <c r="R253" s="139"/>
      <c r="S253" s="139"/>
      <c r="T253" s="139"/>
    </row>
    <row r="254" spans="1:20" s="5" customFormat="1" ht="25.5" x14ac:dyDescent="0.25">
      <c r="A254" s="24" t="s">
        <v>226</v>
      </c>
      <c r="B254" s="53">
        <v>902</v>
      </c>
      <c r="C254" s="48" t="s">
        <v>30</v>
      </c>
      <c r="D254" s="48" t="s">
        <v>34</v>
      </c>
      <c r="E254" s="48" t="s">
        <v>709</v>
      </c>
      <c r="F254" s="48" t="s">
        <v>59</v>
      </c>
      <c r="G254" s="119">
        <v>81.400000000000006</v>
      </c>
      <c r="H254" s="119">
        <v>0</v>
      </c>
      <c r="I254" s="119">
        <v>0</v>
      </c>
      <c r="J254" s="139"/>
      <c r="K254" s="139"/>
      <c r="L254" s="139"/>
      <c r="M254" s="139"/>
      <c r="N254" s="139"/>
      <c r="O254" s="139"/>
      <c r="P254" s="139"/>
      <c r="Q254" s="139"/>
      <c r="R254" s="139"/>
      <c r="S254" s="139"/>
      <c r="T254" s="139"/>
    </row>
    <row r="255" spans="1:20" s="5" customFormat="1" ht="29.25" customHeight="1" x14ac:dyDescent="0.25">
      <c r="A255" s="24" t="s">
        <v>541</v>
      </c>
      <c r="B255" s="53">
        <v>902</v>
      </c>
      <c r="C255" s="48" t="s">
        <v>30</v>
      </c>
      <c r="D255" s="48" t="s">
        <v>34</v>
      </c>
      <c r="E255" s="48" t="s">
        <v>102</v>
      </c>
      <c r="F255" s="48"/>
      <c r="G255" s="119">
        <f>G262+G256</f>
        <v>106456.70000000001</v>
      </c>
      <c r="H255" s="119">
        <f t="shared" ref="H255:I255" si="83">H262+H256</f>
        <v>109259.40000000001</v>
      </c>
      <c r="I255" s="119">
        <f t="shared" si="83"/>
        <v>112842.60000000002</v>
      </c>
      <c r="J255" s="139"/>
      <c r="K255" s="139"/>
      <c r="L255" s="139"/>
      <c r="M255" s="139"/>
      <c r="N255" s="139"/>
      <c r="O255" s="139"/>
      <c r="P255" s="139"/>
      <c r="Q255" s="139"/>
      <c r="R255" s="139"/>
      <c r="S255" s="139"/>
      <c r="T255" s="139"/>
    </row>
    <row r="256" spans="1:20" s="5" customFormat="1" ht="25.5" x14ac:dyDescent="0.25">
      <c r="A256" s="24" t="s">
        <v>734</v>
      </c>
      <c r="B256" s="53">
        <v>902</v>
      </c>
      <c r="C256" s="48" t="s">
        <v>30</v>
      </c>
      <c r="D256" s="48" t="s">
        <v>34</v>
      </c>
      <c r="E256" s="48" t="s">
        <v>106</v>
      </c>
      <c r="F256" s="48"/>
      <c r="G256" s="119">
        <f>G257</f>
        <v>8766.1</v>
      </c>
      <c r="H256" s="119">
        <f t="shared" ref="H256:I258" si="84">H257</f>
        <v>8906.3000000000011</v>
      </c>
      <c r="I256" s="119">
        <f t="shared" si="84"/>
        <v>8906.3000000000011</v>
      </c>
      <c r="J256" s="139"/>
      <c r="K256" s="139"/>
      <c r="L256" s="139"/>
      <c r="M256" s="139"/>
      <c r="N256" s="139"/>
      <c r="O256" s="139"/>
      <c r="P256" s="139"/>
      <c r="Q256" s="139"/>
      <c r="R256" s="139"/>
      <c r="S256" s="139"/>
      <c r="T256" s="139"/>
    </row>
    <row r="257" spans="1:20" s="5" customFormat="1" ht="15" x14ac:dyDescent="0.25">
      <c r="A257" s="24" t="s">
        <v>753</v>
      </c>
      <c r="B257" s="53">
        <v>902</v>
      </c>
      <c r="C257" s="48" t="s">
        <v>30</v>
      </c>
      <c r="D257" s="48" t="s">
        <v>34</v>
      </c>
      <c r="E257" s="48" t="s">
        <v>109</v>
      </c>
      <c r="F257" s="48"/>
      <c r="G257" s="119">
        <f>G258+G260</f>
        <v>8766.1</v>
      </c>
      <c r="H257" s="119">
        <f t="shared" ref="H257:I257" si="85">H258+H260</f>
        <v>8906.3000000000011</v>
      </c>
      <c r="I257" s="119">
        <f t="shared" si="85"/>
        <v>8906.3000000000011</v>
      </c>
      <c r="J257" s="139"/>
      <c r="K257" s="139"/>
      <c r="L257" s="139"/>
      <c r="M257" s="139"/>
      <c r="N257" s="139"/>
      <c r="O257" s="139"/>
      <c r="P257" s="139"/>
      <c r="Q257" s="139"/>
      <c r="R257" s="139"/>
      <c r="S257" s="139"/>
      <c r="T257" s="139"/>
    </row>
    <row r="258" spans="1:20" s="5" customFormat="1" ht="15" x14ac:dyDescent="0.25">
      <c r="A258" s="24" t="s">
        <v>307</v>
      </c>
      <c r="B258" s="53">
        <v>902</v>
      </c>
      <c r="C258" s="48" t="s">
        <v>30</v>
      </c>
      <c r="D258" s="48" t="s">
        <v>34</v>
      </c>
      <c r="E258" s="48" t="s">
        <v>251</v>
      </c>
      <c r="F258" s="48"/>
      <c r="G258" s="119">
        <f>G259</f>
        <v>3490.9</v>
      </c>
      <c r="H258" s="119">
        <f t="shared" si="84"/>
        <v>3631.1</v>
      </c>
      <c r="I258" s="119">
        <f t="shared" si="84"/>
        <v>3631.1</v>
      </c>
      <c r="J258" s="139"/>
      <c r="K258" s="139"/>
      <c r="L258" s="139"/>
      <c r="M258" s="139"/>
      <c r="N258" s="139"/>
      <c r="O258" s="139"/>
      <c r="P258" s="139"/>
      <c r="Q258" s="139"/>
      <c r="R258" s="139"/>
      <c r="S258" s="139"/>
      <c r="T258" s="139"/>
    </row>
    <row r="259" spans="1:20" s="5" customFormat="1" ht="25.5" x14ac:dyDescent="0.25">
      <c r="A259" s="24" t="s">
        <v>64</v>
      </c>
      <c r="B259" s="53">
        <v>902</v>
      </c>
      <c r="C259" s="48" t="s">
        <v>30</v>
      </c>
      <c r="D259" s="48" t="s">
        <v>34</v>
      </c>
      <c r="E259" s="48" t="s">
        <v>251</v>
      </c>
      <c r="F259" s="48" t="s">
        <v>65</v>
      </c>
      <c r="G259" s="119">
        <f>3631.1-140.2</f>
        <v>3490.9</v>
      </c>
      <c r="H259" s="119">
        <v>3631.1</v>
      </c>
      <c r="I259" s="119">
        <v>3631.1</v>
      </c>
      <c r="J259" s="139"/>
      <c r="K259" s="139"/>
      <c r="L259" s="139"/>
      <c r="M259" s="139"/>
      <c r="N259" s="139"/>
      <c r="O259" s="139"/>
      <c r="P259" s="139"/>
      <c r="Q259" s="139"/>
      <c r="R259" s="139"/>
      <c r="S259" s="139"/>
      <c r="T259" s="139"/>
    </row>
    <row r="260" spans="1:20" s="5" customFormat="1" ht="25.5" x14ac:dyDescent="0.25">
      <c r="A260" s="24" t="s">
        <v>611</v>
      </c>
      <c r="B260" s="53">
        <v>902</v>
      </c>
      <c r="C260" s="48" t="s">
        <v>30</v>
      </c>
      <c r="D260" s="48" t="s">
        <v>34</v>
      </c>
      <c r="E260" s="48" t="s">
        <v>610</v>
      </c>
      <c r="F260" s="48"/>
      <c r="G260" s="119">
        <f>G261</f>
        <v>5275.2</v>
      </c>
      <c r="H260" s="119">
        <f t="shared" ref="H260:I260" si="86">H261</f>
        <v>5275.2000000000007</v>
      </c>
      <c r="I260" s="119">
        <f t="shared" si="86"/>
        <v>5275.2000000000007</v>
      </c>
      <c r="J260" s="139"/>
      <c r="K260" s="139"/>
      <c r="L260" s="139"/>
      <c r="M260" s="139"/>
      <c r="N260" s="139"/>
      <c r="O260" s="139"/>
      <c r="P260" s="139"/>
      <c r="Q260" s="139"/>
      <c r="R260" s="139"/>
      <c r="S260" s="139"/>
      <c r="T260" s="139"/>
    </row>
    <row r="261" spans="1:20" s="5" customFormat="1" ht="25.5" x14ac:dyDescent="0.25">
      <c r="A261" s="24" t="s">
        <v>64</v>
      </c>
      <c r="B261" s="53">
        <v>902</v>
      </c>
      <c r="C261" s="48" t="s">
        <v>30</v>
      </c>
      <c r="D261" s="48" t="s">
        <v>34</v>
      </c>
      <c r="E261" s="48" t="s">
        <v>610</v>
      </c>
      <c r="F261" s="48" t="s">
        <v>65</v>
      </c>
      <c r="G261" s="119">
        <v>5275.2</v>
      </c>
      <c r="H261" s="119">
        <f>21336-16060.8</f>
        <v>5275.2000000000007</v>
      </c>
      <c r="I261" s="119">
        <f>21336-16060.8</f>
        <v>5275.2000000000007</v>
      </c>
      <c r="J261" s="139"/>
      <c r="K261" s="139"/>
      <c r="L261" s="139"/>
      <c r="M261" s="139"/>
      <c r="N261" s="139"/>
      <c r="O261" s="139"/>
      <c r="P261" s="139"/>
      <c r="Q261" s="139"/>
      <c r="R261" s="139"/>
      <c r="S261" s="139"/>
      <c r="T261" s="139"/>
    </row>
    <row r="262" spans="1:20" s="5" customFormat="1" ht="25.5" x14ac:dyDescent="0.25">
      <c r="A262" s="24" t="s">
        <v>754</v>
      </c>
      <c r="B262" s="53">
        <v>902</v>
      </c>
      <c r="C262" s="48" t="s">
        <v>30</v>
      </c>
      <c r="D262" s="48" t="s">
        <v>34</v>
      </c>
      <c r="E262" s="48" t="s">
        <v>112</v>
      </c>
      <c r="F262" s="48"/>
      <c r="G262" s="119">
        <f>G263+G272+G275+G280+G283+G288+G300</f>
        <v>97690.6</v>
      </c>
      <c r="H262" s="119">
        <f t="shared" ref="H262:I262" si="87">H263+H272+H275+H280+H283+H288+H300</f>
        <v>100353.1</v>
      </c>
      <c r="I262" s="119">
        <f t="shared" si="87"/>
        <v>103936.30000000002</v>
      </c>
      <c r="J262" s="139"/>
      <c r="K262" s="139"/>
      <c r="L262" s="139"/>
      <c r="M262" s="139"/>
      <c r="N262" s="139"/>
      <c r="O262" s="139"/>
      <c r="P262" s="139"/>
      <c r="Q262" s="139"/>
      <c r="R262" s="139"/>
      <c r="S262" s="139"/>
      <c r="T262" s="139"/>
    </row>
    <row r="263" spans="1:20" s="5" customFormat="1" ht="15" x14ac:dyDescent="0.25">
      <c r="A263" s="23" t="s">
        <v>781</v>
      </c>
      <c r="B263" s="53">
        <v>902</v>
      </c>
      <c r="C263" s="48" t="s">
        <v>30</v>
      </c>
      <c r="D263" s="48" t="s">
        <v>34</v>
      </c>
      <c r="E263" s="48" t="s">
        <v>113</v>
      </c>
      <c r="F263" s="48"/>
      <c r="G263" s="119">
        <f>G264+G268</f>
        <v>77922.600000000006</v>
      </c>
      <c r="H263" s="119">
        <f t="shared" ref="H263:I263" si="88">H264+H268</f>
        <v>80840.800000000003</v>
      </c>
      <c r="I263" s="119">
        <f t="shared" si="88"/>
        <v>83878.700000000012</v>
      </c>
      <c r="J263" s="139"/>
      <c r="K263" s="139"/>
      <c r="L263" s="139"/>
      <c r="M263" s="139"/>
      <c r="N263" s="139"/>
      <c r="O263" s="139"/>
      <c r="P263" s="139"/>
      <c r="Q263" s="139"/>
      <c r="R263" s="139"/>
      <c r="S263" s="139"/>
      <c r="T263" s="139"/>
    </row>
    <row r="264" spans="1:20" s="5" customFormat="1" ht="15" x14ac:dyDescent="0.25">
      <c r="A264" s="24" t="s">
        <v>138</v>
      </c>
      <c r="B264" s="53">
        <v>902</v>
      </c>
      <c r="C264" s="48" t="s">
        <v>30</v>
      </c>
      <c r="D264" s="48" t="s">
        <v>34</v>
      </c>
      <c r="E264" s="48" t="s">
        <v>114</v>
      </c>
      <c r="F264" s="48"/>
      <c r="G264" s="119">
        <f>G265+G266+G267</f>
        <v>25219.7</v>
      </c>
      <c r="H264" s="119">
        <f t="shared" ref="H264:I264" si="89">H265+H266</f>
        <v>26202.7</v>
      </c>
      <c r="I264" s="119">
        <f t="shared" si="89"/>
        <v>27225.200000000001</v>
      </c>
      <c r="J264" s="139"/>
      <c r="K264" s="139"/>
      <c r="L264" s="139"/>
      <c r="M264" s="139"/>
      <c r="N264" s="139"/>
      <c r="O264" s="139"/>
      <c r="P264" s="139"/>
      <c r="Q264" s="139"/>
      <c r="R264" s="139"/>
      <c r="S264" s="139"/>
      <c r="T264" s="139"/>
    </row>
    <row r="265" spans="1:20" s="5" customFormat="1" ht="38.25" x14ac:dyDescent="0.25">
      <c r="A265" s="24" t="s">
        <v>225</v>
      </c>
      <c r="B265" s="53">
        <v>902</v>
      </c>
      <c r="C265" s="48" t="s">
        <v>30</v>
      </c>
      <c r="D265" s="48" t="s">
        <v>34</v>
      </c>
      <c r="E265" s="48" t="s">
        <v>114</v>
      </c>
      <c r="F265" s="48" t="s">
        <v>66</v>
      </c>
      <c r="G265" s="119">
        <f>24582.3-95.3</f>
        <v>24487</v>
      </c>
      <c r="H265" s="119">
        <v>25565.3</v>
      </c>
      <c r="I265" s="119">
        <v>26587.8</v>
      </c>
      <c r="J265" s="139"/>
      <c r="K265" s="139"/>
      <c r="L265" s="139"/>
      <c r="M265" s="139"/>
      <c r="N265" s="139"/>
      <c r="O265" s="139"/>
      <c r="P265" s="139"/>
      <c r="Q265" s="139"/>
      <c r="R265" s="139"/>
      <c r="S265" s="139"/>
      <c r="T265" s="139"/>
    </row>
    <row r="266" spans="1:20" s="5" customFormat="1" ht="25.5" x14ac:dyDescent="0.25">
      <c r="A266" s="24" t="s">
        <v>226</v>
      </c>
      <c r="B266" s="53">
        <v>902</v>
      </c>
      <c r="C266" s="48" t="s">
        <v>30</v>
      </c>
      <c r="D266" s="48" t="s">
        <v>34</v>
      </c>
      <c r="E266" s="48" t="s">
        <v>114</v>
      </c>
      <c r="F266" s="48" t="s">
        <v>59</v>
      </c>
      <c r="G266" s="119">
        <v>637.4</v>
      </c>
      <c r="H266" s="119">
        <v>637.4</v>
      </c>
      <c r="I266" s="119">
        <v>637.4</v>
      </c>
      <c r="J266" s="139"/>
      <c r="K266" s="139"/>
      <c r="L266" s="139"/>
      <c r="M266" s="139"/>
      <c r="N266" s="139"/>
      <c r="O266" s="139"/>
      <c r="P266" s="139"/>
      <c r="Q266" s="139"/>
      <c r="R266" s="139"/>
      <c r="S266" s="139"/>
      <c r="T266" s="139"/>
    </row>
    <row r="267" spans="1:20" s="5" customFormat="1" ht="15" x14ac:dyDescent="0.25">
      <c r="A267" s="24" t="s">
        <v>85</v>
      </c>
      <c r="B267" s="53">
        <v>902</v>
      </c>
      <c r="C267" s="48" t="s">
        <v>30</v>
      </c>
      <c r="D267" s="48" t="s">
        <v>34</v>
      </c>
      <c r="E267" s="48" t="s">
        <v>114</v>
      </c>
      <c r="F267" s="48" t="s">
        <v>86</v>
      </c>
      <c r="G267" s="119">
        <v>95.3</v>
      </c>
      <c r="H267" s="119">
        <v>0</v>
      </c>
      <c r="I267" s="119">
        <v>0</v>
      </c>
      <c r="J267" s="139"/>
      <c r="K267" s="139"/>
      <c r="L267" s="139"/>
      <c r="M267" s="139"/>
      <c r="N267" s="139"/>
      <c r="O267" s="139"/>
      <c r="P267" s="139"/>
      <c r="Q267" s="139"/>
      <c r="R267" s="139"/>
      <c r="S267" s="139"/>
      <c r="T267" s="139"/>
    </row>
    <row r="268" spans="1:20" s="5" customFormat="1" ht="25.5" x14ac:dyDescent="0.25">
      <c r="A268" s="24" t="s">
        <v>239</v>
      </c>
      <c r="B268" s="53">
        <v>902</v>
      </c>
      <c r="C268" s="48" t="s">
        <v>30</v>
      </c>
      <c r="D268" s="48" t="s">
        <v>34</v>
      </c>
      <c r="E268" s="48" t="s">
        <v>250</v>
      </c>
      <c r="F268" s="48"/>
      <c r="G268" s="119">
        <f>G269+G270+G271</f>
        <v>52702.9</v>
      </c>
      <c r="H268" s="119">
        <f>H269+H270+H271</f>
        <v>54638.100000000006</v>
      </c>
      <c r="I268" s="119">
        <f>I269+I270+I271</f>
        <v>56653.500000000007</v>
      </c>
      <c r="J268" s="139"/>
      <c r="K268" s="139"/>
      <c r="L268" s="139"/>
      <c r="M268" s="139"/>
      <c r="N268" s="139"/>
      <c r="O268" s="139"/>
      <c r="P268" s="139"/>
      <c r="Q268" s="139"/>
      <c r="R268" s="139"/>
      <c r="S268" s="139"/>
      <c r="T268" s="139"/>
    </row>
    <row r="269" spans="1:20" s="5" customFormat="1" ht="41.25" customHeight="1" x14ac:dyDescent="0.25">
      <c r="A269" s="24" t="s">
        <v>225</v>
      </c>
      <c r="B269" s="53">
        <v>902</v>
      </c>
      <c r="C269" s="48" t="s">
        <v>30</v>
      </c>
      <c r="D269" s="48" t="s">
        <v>34</v>
      </c>
      <c r="E269" s="48" t="s">
        <v>250</v>
      </c>
      <c r="F269" s="48" t="s">
        <v>66</v>
      </c>
      <c r="G269" s="119">
        <v>47571.4</v>
      </c>
      <c r="H269" s="119">
        <v>49473.8</v>
      </c>
      <c r="I269" s="119">
        <v>51451.9</v>
      </c>
      <c r="J269" s="139"/>
      <c r="K269" s="139"/>
      <c r="L269" s="139"/>
      <c r="M269" s="139"/>
      <c r="N269" s="139"/>
      <c r="O269" s="139"/>
      <c r="P269" s="139"/>
      <c r="Q269" s="139"/>
      <c r="R269" s="139"/>
      <c r="S269" s="139"/>
      <c r="T269" s="139"/>
    </row>
    <row r="270" spans="1:20" s="5" customFormat="1" ht="33" customHeight="1" x14ac:dyDescent="0.25">
      <c r="A270" s="24" t="s">
        <v>226</v>
      </c>
      <c r="B270" s="53">
        <v>902</v>
      </c>
      <c r="C270" s="48" t="s">
        <v>30</v>
      </c>
      <c r="D270" s="48" t="s">
        <v>34</v>
      </c>
      <c r="E270" s="48" t="s">
        <v>250</v>
      </c>
      <c r="F270" s="48" t="s">
        <v>59</v>
      </c>
      <c r="G270" s="119">
        <v>5123.2</v>
      </c>
      <c r="H270" s="119">
        <v>5156</v>
      </c>
      <c r="I270" s="119">
        <v>5193.3</v>
      </c>
      <c r="J270" s="139"/>
      <c r="K270" s="139"/>
      <c r="L270" s="139"/>
      <c r="M270" s="139"/>
      <c r="N270" s="139"/>
      <c r="O270" s="139"/>
      <c r="P270" s="139"/>
      <c r="Q270" s="139"/>
      <c r="R270" s="139"/>
      <c r="S270" s="139"/>
      <c r="T270" s="139"/>
    </row>
    <row r="271" spans="1:20" s="5" customFormat="1" ht="15" x14ac:dyDescent="0.25">
      <c r="A271" s="24" t="s">
        <v>61</v>
      </c>
      <c r="B271" s="53">
        <v>902</v>
      </c>
      <c r="C271" s="48" t="s">
        <v>30</v>
      </c>
      <c r="D271" s="48" t="s">
        <v>34</v>
      </c>
      <c r="E271" s="48" t="s">
        <v>250</v>
      </c>
      <c r="F271" s="48" t="s">
        <v>62</v>
      </c>
      <c r="G271" s="119">
        <v>8.3000000000000007</v>
      </c>
      <c r="H271" s="119">
        <v>8.3000000000000007</v>
      </c>
      <c r="I271" s="119">
        <v>8.3000000000000007</v>
      </c>
      <c r="J271" s="139"/>
      <c r="K271" s="139"/>
      <c r="L271" s="139"/>
      <c r="M271" s="139"/>
      <c r="N271" s="139"/>
      <c r="O271" s="139"/>
      <c r="P271" s="139"/>
      <c r="Q271" s="139"/>
      <c r="R271" s="139"/>
      <c r="S271" s="139"/>
      <c r="T271" s="139"/>
    </row>
    <row r="272" spans="1:20" s="5" customFormat="1" ht="25.5" x14ac:dyDescent="0.25">
      <c r="A272" s="23" t="s">
        <v>782</v>
      </c>
      <c r="B272" s="53">
        <v>902</v>
      </c>
      <c r="C272" s="48" t="s">
        <v>30</v>
      </c>
      <c r="D272" s="48" t="s">
        <v>34</v>
      </c>
      <c r="E272" s="48" t="s">
        <v>115</v>
      </c>
      <c r="F272" s="48"/>
      <c r="G272" s="119">
        <f>G273</f>
        <v>35.9</v>
      </c>
      <c r="H272" s="119">
        <f t="shared" ref="H272:I272" si="90">H273</f>
        <v>35.9</v>
      </c>
      <c r="I272" s="119">
        <f t="shared" si="90"/>
        <v>35.9</v>
      </c>
      <c r="J272" s="139"/>
      <c r="K272" s="139"/>
      <c r="L272" s="139"/>
      <c r="M272" s="139"/>
      <c r="N272" s="139"/>
      <c r="O272" s="139"/>
      <c r="P272" s="139"/>
      <c r="Q272" s="139"/>
      <c r="R272" s="139"/>
      <c r="S272" s="139"/>
      <c r="T272" s="139"/>
    </row>
    <row r="273" spans="1:20" s="5" customFormat="1" ht="25.5" x14ac:dyDescent="0.25">
      <c r="A273" s="23" t="s">
        <v>89</v>
      </c>
      <c r="B273" s="53">
        <v>902</v>
      </c>
      <c r="C273" s="48" t="s">
        <v>30</v>
      </c>
      <c r="D273" s="48" t="s">
        <v>34</v>
      </c>
      <c r="E273" s="48" t="s">
        <v>253</v>
      </c>
      <c r="F273" s="48"/>
      <c r="G273" s="119">
        <f>G274</f>
        <v>35.9</v>
      </c>
      <c r="H273" s="119">
        <f>H274</f>
        <v>35.9</v>
      </c>
      <c r="I273" s="119">
        <f>I274</f>
        <v>35.9</v>
      </c>
      <c r="J273" s="139"/>
      <c r="K273" s="139"/>
      <c r="L273" s="139"/>
      <c r="M273" s="139"/>
      <c r="N273" s="139"/>
      <c r="O273" s="139"/>
      <c r="P273" s="139"/>
      <c r="Q273" s="139"/>
      <c r="R273" s="139"/>
      <c r="S273" s="139"/>
      <c r="T273" s="139"/>
    </row>
    <row r="274" spans="1:20" s="5" customFormat="1" ht="25.5" x14ac:dyDescent="0.25">
      <c r="A274" s="24" t="s">
        <v>226</v>
      </c>
      <c r="B274" s="53">
        <v>902</v>
      </c>
      <c r="C274" s="48" t="s">
        <v>30</v>
      </c>
      <c r="D274" s="48" t="s">
        <v>34</v>
      </c>
      <c r="E274" s="48" t="s">
        <v>253</v>
      </c>
      <c r="F274" s="48" t="s">
        <v>59</v>
      </c>
      <c r="G274" s="119">
        <v>35.9</v>
      </c>
      <c r="H274" s="119">
        <v>35.9</v>
      </c>
      <c r="I274" s="119">
        <v>35.9</v>
      </c>
      <c r="J274" s="139"/>
      <c r="K274" s="139"/>
      <c r="L274" s="139"/>
      <c r="M274" s="139"/>
      <c r="N274" s="139"/>
      <c r="O274" s="139"/>
      <c r="P274" s="139"/>
      <c r="Q274" s="139"/>
      <c r="R274" s="139"/>
      <c r="S274" s="139"/>
      <c r="T274" s="139"/>
    </row>
    <row r="275" spans="1:20" s="5" customFormat="1" ht="27.75" customHeight="1" x14ac:dyDescent="0.25">
      <c r="A275" s="24" t="s">
        <v>783</v>
      </c>
      <c r="B275" s="53">
        <v>902</v>
      </c>
      <c r="C275" s="48" t="s">
        <v>30</v>
      </c>
      <c r="D275" s="48" t="s">
        <v>34</v>
      </c>
      <c r="E275" s="48" t="s">
        <v>116</v>
      </c>
      <c r="F275" s="48"/>
      <c r="G275" s="119">
        <f>G276+G278</f>
        <v>823.5</v>
      </c>
      <c r="H275" s="119">
        <f>H276+H278</f>
        <v>823.5</v>
      </c>
      <c r="I275" s="119">
        <f>I276+I278</f>
        <v>823.5</v>
      </c>
      <c r="J275" s="139"/>
      <c r="K275" s="139"/>
      <c r="L275" s="139"/>
      <c r="M275" s="139"/>
      <c r="N275" s="139"/>
      <c r="O275" s="139"/>
      <c r="P275" s="139"/>
      <c r="Q275" s="139"/>
      <c r="R275" s="139"/>
      <c r="S275" s="139"/>
      <c r="T275" s="139"/>
    </row>
    <row r="276" spans="1:20" s="5" customFormat="1" ht="25.5" x14ac:dyDescent="0.25">
      <c r="A276" s="24" t="s">
        <v>323</v>
      </c>
      <c r="B276" s="53">
        <v>902</v>
      </c>
      <c r="C276" s="48" t="s">
        <v>30</v>
      </c>
      <c r="D276" s="48" t="s">
        <v>34</v>
      </c>
      <c r="E276" s="48" t="s">
        <v>254</v>
      </c>
      <c r="F276" s="48"/>
      <c r="G276" s="119">
        <f>G277</f>
        <v>57.5</v>
      </c>
      <c r="H276" s="119">
        <f>H277</f>
        <v>57.5</v>
      </c>
      <c r="I276" s="119">
        <f>I277</f>
        <v>57.5</v>
      </c>
      <c r="J276" s="139"/>
      <c r="K276" s="139"/>
      <c r="L276" s="139"/>
      <c r="M276" s="139"/>
      <c r="N276" s="139"/>
      <c r="O276" s="139"/>
      <c r="P276" s="139"/>
      <c r="Q276" s="139"/>
      <c r="R276" s="139"/>
      <c r="S276" s="139"/>
      <c r="T276" s="139"/>
    </row>
    <row r="277" spans="1:20" s="5" customFormat="1" ht="15" x14ac:dyDescent="0.25">
      <c r="A277" s="24" t="s">
        <v>85</v>
      </c>
      <c r="B277" s="53">
        <v>902</v>
      </c>
      <c r="C277" s="48" t="s">
        <v>30</v>
      </c>
      <c r="D277" s="48" t="s">
        <v>34</v>
      </c>
      <c r="E277" s="48" t="s">
        <v>254</v>
      </c>
      <c r="F277" s="48" t="s">
        <v>86</v>
      </c>
      <c r="G277" s="119">
        <v>57.5</v>
      </c>
      <c r="H277" s="119">
        <v>57.5</v>
      </c>
      <c r="I277" s="119">
        <v>57.5</v>
      </c>
      <c r="J277" s="139"/>
      <c r="K277" s="139"/>
      <c r="L277" s="139"/>
      <c r="M277" s="139"/>
      <c r="N277" s="139"/>
      <c r="O277" s="139"/>
      <c r="P277" s="139"/>
      <c r="Q277" s="139"/>
      <c r="R277" s="139"/>
      <c r="S277" s="139"/>
      <c r="T277" s="139"/>
    </row>
    <row r="278" spans="1:20" s="5" customFormat="1" ht="15" x14ac:dyDescent="0.25">
      <c r="A278" s="24" t="s">
        <v>87</v>
      </c>
      <c r="B278" s="53">
        <v>902</v>
      </c>
      <c r="C278" s="48" t="s">
        <v>30</v>
      </c>
      <c r="D278" s="48" t="s">
        <v>34</v>
      </c>
      <c r="E278" s="48" t="s">
        <v>255</v>
      </c>
      <c r="F278" s="48"/>
      <c r="G278" s="119">
        <f>G279</f>
        <v>766</v>
      </c>
      <c r="H278" s="119">
        <f>H279</f>
        <v>766</v>
      </c>
      <c r="I278" s="119">
        <f>I279</f>
        <v>766</v>
      </c>
      <c r="J278" s="139"/>
      <c r="K278" s="139"/>
      <c r="L278" s="139"/>
      <c r="M278" s="139"/>
      <c r="N278" s="139"/>
      <c r="O278" s="139"/>
      <c r="P278" s="139"/>
      <c r="Q278" s="139"/>
      <c r="R278" s="139"/>
      <c r="S278" s="139"/>
      <c r="T278" s="139"/>
    </row>
    <row r="279" spans="1:20" s="5" customFormat="1" ht="25.5" x14ac:dyDescent="0.25">
      <c r="A279" s="24" t="s">
        <v>226</v>
      </c>
      <c r="B279" s="53">
        <v>902</v>
      </c>
      <c r="C279" s="48" t="s">
        <v>30</v>
      </c>
      <c r="D279" s="48" t="s">
        <v>34</v>
      </c>
      <c r="E279" s="48" t="s">
        <v>255</v>
      </c>
      <c r="F279" s="48" t="s">
        <v>59</v>
      </c>
      <c r="G279" s="119">
        <v>766</v>
      </c>
      <c r="H279" s="119">
        <v>766</v>
      </c>
      <c r="I279" s="119">
        <v>766</v>
      </c>
      <c r="J279" s="139"/>
      <c r="K279" s="139"/>
      <c r="L279" s="139"/>
      <c r="M279" s="139"/>
      <c r="N279" s="139"/>
      <c r="O279" s="139"/>
      <c r="P279" s="139"/>
      <c r="Q279" s="139"/>
      <c r="R279" s="139"/>
      <c r="S279" s="139"/>
      <c r="T279" s="139"/>
    </row>
    <row r="280" spans="1:20" s="5" customFormat="1" ht="25.5" x14ac:dyDescent="0.25">
      <c r="A280" s="24" t="s">
        <v>784</v>
      </c>
      <c r="B280" s="53">
        <v>902</v>
      </c>
      <c r="C280" s="48" t="s">
        <v>30</v>
      </c>
      <c r="D280" s="48" t="s">
        <v>34</v>
      </c>
      <c r="E280" s="48" t="s">
        <v>117</v>
      </c>
      <c r="F280" s="48"/>
      <c r="G280" s="119">
        <f t="shared" ref="G280:I281" si="91">G281</f>
        <v>507.5</v>
      </c>
      <c r="H280" s="119">
        <f t="shared" si="91"/>
        <v>507.5</v>
      </c>
      <c r="I280" s="119">
        <f t="shared" si="91"/>
        <v>507.5</v>
      </c>
      <c r="J280" s="139"/>
      <c r="K280" s="139"/>
      <c r="L280" s="139"/>
      <c r="M280" s="139"/>
      <c r="N280" s="139"/>
      <c r="O280" s="139"/>
      <c r="P280" s="139"/>
      <c r="Q280" s="139"/>
      <c r="R280" s="139"/>
      <c r="S280" s="139"/>
      <c r="T280" s="139"/>
    </row>
    <row r="281" spans="1:20" s="5" customFormat="1" ht="15" x14ac:dyDescent="0.25">
      <c r="A281" s="24" t="s">
        <v>88</v>
      </c>
      <c r="B281" s="53">
        <v>902</v>
      </c>
      <c r="C281" s="48" t="s">
        <v>30</v>
      </c>
      <c r="D281" s="48" t="s">
        <v>34</v>
      </c>
      <c r="E281" s="48" t="s">
        <v>256</v>
      </c>
      <c r="F281" s="48"/>
      <c r="G281" s="119">
        <f t="shared" si="91"/>
        <v>507.5</v>
      </c>
      <c r="H281" s="119">
        <f t="shared" si="91"/>
        <v>507.5</v>
      </c>
      <c r="I281" s="119">
        <f t="shared" si="91"/>
        <v>507.5</v>
      </c>
      <c r="J281" s="139"/>
      <c r="K281" s="139"/>
      <c r="L281" s="139"/>
      <c r="M281" s="139"/>
      <c r="N281" s="139"/>
      <c r="O281" s="139"/>
      <c r="P281" s="139"/>
      <c r="Q281" s="139"/>
      <c r="R281" s="139"/>
      <c r="S281" s="139"/>
      <c r="T281" s="139"/>
    </row>
    <row r="282" spans="1:20" s="5" customFormat="1" ht="25.5" x14ac:dyDescent="0.25">
      <c r="A282" s="24" t="s">
        <v>226</v>
      </c>
      <c r="B282" s="53">
        <v>902</v>
      </c>
      <c r="C282" s="48" t="s">
        <v>30</v>
      </c>
      <c r="D282" s="48" t="s">
        <v>34</v>
      </c>
      <c r="E282" s="48" t="s">
        <v>256</v>
      </c>
      <c r="F282" s="48" t="s">
        <v>59</v>
      </c>
      <c r="G282" s="119">
        <v>507.5</v>
      </c>
      <c r="H282" s="119">
        <v>507.5</v>
      </c>
      <c r="I282" s="119">
        <v>507.5</v>
      </c>
      <c r="J282" s="139"/>
      <c r="K282" s="139"/>
      <c r="L282" s="139"/>
      <c r="M282" s="139"/>
      <c r="N282" s="139"/>
      <c r="O282" s="139"/>
      <c r="P282" s="139"/>
      <c r="Q282" s="139"/>
      <c r="R282" s="139"/>
      <c r="S282" s="139"/>
      <c r="T282" s="139"/>
    </row>
    <row r="283" spans="1:20" s="5" customFormat="1" ht="25.5" x14ac:dyDescent="0.25">
      <c r="A283" s="24" t="s">
        <v>785</v>
      </c>
      <c r="B283" s="53">
        <v>902</v>
      </c>
      <c r="C283" s="48" t="s">
        <v>30</v>
      </c>
      <c r="D283" s="48" t="s">
        <v>34</v>
      </c>
      <c r="E283" s="48" t="s">
        <v>118</v>
      </c>
      <c r="F283" s="48"/>
      <c r="G283" s="119">
        <f>G284+G286</f>
        <v>121.1</v>
      </c>
      <c r="H283" s="119">
        <f t="shared" ref="H283:I283" si="92">H284+H286</f>
        <v>121.1</v>
      </c>
      <c r="I283" s="119">
        <f t="shared" si="92"/>
        <v>121.1</v>
      </c>
      <c r="J283" s="139"/>
      <c r="K283" s="139"/>
      <c r="L283" s="139"/>
      <c r="M283" s="139"/>
      <c r="N283" s="139"/>
      <c r="O283" s="139"/>
      <c r="P283" s="139"/>
      <c r="Q283" s="139"/>
      <c r="R283" s="139"/>
      <c r="S283" s="139"/>
      <c r="T283" s="139"/>
    </row>
    <row r="284" spans="1:20" s="5" customFormat="1" ht="15" x14ac:dyDescent="0.25">
      <c r="A284" s="24" t="s">
        <v>330</v>
      </c>
      <c r="B284" s="53">
        <v>902</v>
      </c>
      <c r="C284" s="48" t="s">
        <v>30</v>
      </c>
      <c r="D284" s="48" t="s">
        <v>34</v>
      </c>
      <c r="E284" s="48" t="s">
        <v>257</v>
      </c>
      <c r="F284" s="48"/>
      <c r="G284" s="119">
        <f>G285</f>
        <v>50</v>
      </c>
      <c r="H284" s="119">
        <f>H285</f>
        <v>50</v>
      </c>
      <c r="I284" s="119">
        <f>I285</f>
        <v>50</v>
      </c>
      <c r="J284" s="139"/>
      <c r="K284" s="139"/>
      <c r="L284" s="139"/>
      <c r="M284" s="139"/>
      <c r="N284" s="139"/>
      <c r="O284" s="139"/>
      <c r="P284" s="139"/>
      <c r="Q284" s="139"/>
      <c r="R284" s="139"/>
      <c r="S284" s="139"/>
      <c r="T284" s="139"/>
    </row>
    <row r="285" spans="1:20" s="5" customFormat="1" ht="31.5" customHeight="1" x14ac:dyDescent="0.25">
      <c r="A285" s="24" t="s">
        <v>226</v>
      </c>
      <c r="B285" s="53">
        <v>902</v>
      </c>
      <c r="C285" s="48" t="s">
        <v>30</v>
      </c>
      <c r="D285" s="48" t="s">
        <v>34</v>
      </c>
      <c r="E285" s="48" t="s">
        <v>257</v>
      </c>
      <c r="F285" s="48" t="s">
        <v>59</v>
      </c>
      <c r="G285" s="119">
        <v>50</v>
      </c>
      <c r="H285" s="119">
        <v>50</v>
      </c>
      <c r="I285" s="119">
        <v>50</v>
      </c>
      <c r="J285" s="139"/>
      <c r="K285" s="139"/>
      <c r="L285" s="139"/>
      <c r="M285" s="139"/>
      <c r="N285" s="139"/>
      <c r="O285" s="139"/>
      <c r="P285" s="139"/>
      <c r="Q285" s="139"/>
      <c r="R285" s="139"/>
      <c r="S285" s="139"/>
      <c r="T285" s="139"/>
    </row>
    <row r="286" spans="1:20" s="5" customFormat="1" ht="25.5" x14ac:dyDescent="0.25">
      <c r="A286" s="24" t="s">
        <v>90</v>
      </c>
      <c r="B286" s="53">
        <v>902</v>
      </c>
      <c r="C286" s="48" t="s">
        <v>30</v>
      </c>
      <c r="D286" s="48" t="s">
        <v>34</v>
      </c>
      <c r="E286" s="48" t="s">
        <v>258</v>
      </c>
      <c r="F286" s="48"/>
      <c r="G286" s="119">
        <f>G287</f>
        <v>71.099999999999994</v>
      </c>
      <c r="H286" s="119">
        <f>H287</f>
        <v>71.099999999999994</v>
      </c>
      <c r="I286" s="119">
        <f>I287</f>
        <v>71.099999999999994</v>
      </c>
      <c r="J286" s="139"/>
      <c r="K286" s="139"/>
      <c r="L286" s="139"/>
      <c r="M286" s="139"/>
      <c r="N286" s="139"/>
      <c r="O286" s="139"/>
      <c r="P286" s="139"/>
      <c r="Q286" s="139"/>
      <c r="R286" s="139"/>
      <c r="S286" s="139"/>
      <c r="T286" s="139"/>
    </row>
    <row r="287" spans="1:20" s="5" customFormat="1" ht="25.5" x14ac:dyDescent="0.25">
      <c r="A287" s="24" t="s">
        <v>226</v>
      </c>
      <c r="B287" s="53">
        <v>902</v>
      </c>
      <c r="C287" s="48" t="s">
        <v>30</v>
      </c>
      <c r="D287" s="48" t="s">
        <v>34</v>
      </c>
      <c r="E287" s="48" t="s">
        <v>258</v>
      </c>
      <c r="F287" s="48" t="s">
        <v>59</v>
      </c>
      <c r="G287" s="119">
        <v>71.099999999999994</v>
      </c>
      <c r="H287" s="119">
        <v>71.099999999999994</v>
      </c>
      <c r="I287" s="119">
        <v>71.099999999999994</v>
      </c>
      <c r="J287" s="139"/>
      <c r="K287" s="139"/>
      <c r="L287" s="139"/>
      <c r="M287" s="139"/>
      <c r="N287" s="139"/>
      <c r="O287" s="139"/>
      <c r="P287" s="139"/>
      <c r="Q287" s="139"/>
      <c r="R287" s="139"/>
      <c r="S287" s="139"/>
      <c r="T287" s="139"/>
    </row>
    <row r="288" spans="1:20" s="5" customFormat="1" ht="25.5" x14ac:dyDescent="0.25">
      <c r="A288" s="24" t="s">
        <v>786</v>
      </c>
      <c r="B288" s="53">
        <v>902</v>
      </c>
      <c r="C288" s="48" t="s">
        <v>30</v>
      </c>
      <c r="D288" s="48" t="s">
        <v>34</v>
      </c>
      <c r="E288" s="48" t="s">
        <v>680</v>
      </c>
      <c r="F288" s="48"/>
      <c r="G288" s="119">
        <f>G289</f>
        <v>15280</v>
      </c>
      <c r="H288" s="119">
        <f t="shared" ref="H288:I288" si="93">H289</f>
        <v>15804.300000000001</v>
      </c>
      <c r="I288" s="119">
        <f t="shared" si="93"/>
        <v>16349.6</v>
      </c>
      <c r="J288" s="139"/>
      <c r="K288" s="139"/>
      <c r="L288" s="139"/>
      <c r="M288" s="139"/>
      <c r="N288" s="139"/>
      <c r="O288" s="139"/>
      <c r="P288" s="139"/>
      <c r="Q288" s="139"/>
      <c r="R288" s="139"/>
      <c r="S288" s="139"/>
      <c r="T288" s="139"/>
    </row>
    <row r="289" spans="1:20" s="5" customFormat="1" ht="25.5" x14ac:dyDescent="0.25">
      <c r="A289" s="24" t="s">
        <v>242</v>
      </c>
      <c r="B289" s="53">
        <v>902</v>
      </c>
      <c r="C289" s="48" t="s">
        <v>30</v>
      </c>
      <c r="D289" s="48" t="s">
        <v>34</v>
      </c>
      <c r="E289" s="48" t="s">
        <v>682</v>
      </c>
      <c r="F289" s="48"/>
      <c r="G289" s="119">
        <f>G290+G292+G294+G298+G296</f>
        <v>15280</v>
      </c>
      <c r="H289" s="119">
        <f t="shared" ref="H289:I289" si="94">H290+H292+H294+H298+H296</f>
        <v>15804.300000000001</v>
      </c>
      <c r="I289" s="119">
        <f t="shared" si="94"/>
        <v>16349.6</v>
      </c>
      <c r="J289" s="139"/>
      <c r="K289" s="139"/>
      <c r="L289" s="139"/>
      <c r="M289" s="139"/>
      <c r="N289" s="139"/>
      <c r="O289" s="139"/>
      <c r="P289" s="139"/>
      <c r="Q289" s="139"/>
      <c r="R289" s="139"/>
      <c r="S289" s="139"/>
      <c r="T289" s="139"/>
    </row>
    <row r="290" spans="1:20" s="5" customFormat="1" ht="38.25" x14ac:dyDescent="0.25">
      <c r="A290" s="24" t="s">
        <v>354</v>
      </c>
      <c r="B290" s="53">
        <v>902</v>
      </c>
      <c r="C290" s="48" t="s">
        <v>30</v>
      </c>
      <c r="D290" s="48" t="s">
        <v>34</v>
      </c>
      <c r="E290" s="48" t="s">
        <v>681</v>
      </c>
      <c r="F290" s="48"/>
      <c r="G290" s="119">
        <f>G291</f>
        <v>12603</v>
      </c>
      <c r="H290" s="119">
        <f t="shared" ref="H290:I290" si="95">H291</f>
        <v>13107.2</v>
      </c>
      <c r="I290" s="119">
        <f t="shared" si="95"/>
        <v>13631.5</v>
      </c>
      <c r="J290" s="139"/>
      <c r="K290" s="139"/>
      <c r="L290" s="139"/>
      <c r="M290" s="139"/>
      <c r="N290" s="139"/>
      <c r="O290" s="139"/>
      <c r="P290" s="139"/>
      <c r="Q290" s="139"/>
      <c r="R290" s="139"/>
      <c r="S290" s="139"/>
      <c r="T290" s="139"/>
    </row>
    <row r="291" spans="1:20" s="5" customFormat="1" ht="25.5" x14ac:dyDescent="0.25">
      <c r="A291" s="24" t="s">
        <v>64</v>
      </c>
      <c r="B291" s="53">
        <v>902</v>
      </c>
      <c r="C291" s="48" t="s">
        <v>30</v>
      </c>
      <c r="D291" s="48" t="s">
        <v>34</v>
      </c>
      <c r="E291" s="48" t="s">
        <v>681</v>
      </c>
      <c r="F291" s="48" t="s">
        <v>65</v>
      </c>
      <c r="G291" s="119">
        <v>12603</v>
      </c>
      <c r="H291" s="119">
        <v>13107.2</v>
      </c>
      <c r="I291" s="119">
        <v>13631.5</v>
      </c>
      <c r="J291" s="139"/>
      <c r="K291" s="139"/>
      <c r="L291" s="139"/>
      <c r="M291" s="139"/>
      <c r="N291" s="139"/>
      <c r="O291" s="139"/>
      <c r="P291" s="139"/>
      <c r="Q291" s="139"/>
      <c r="R291" s="139"/>
      <c r="S291" s="139"/>
      <c r="T291" s="139"/>
    </row>
    <row r="292" spans="1:20" s="5" customFormat="1" ht="25.5" x14ac:dyDescent="0.25">
      <c r="A292" s="24" t="s">
        <v>361</v>
      </c>
      <c r="B292" s="53">
        <v>902</v>
      </c>
      <c r="C292" s="48" t="s">
        <v>30</v>
      </c>
      <c r="D292" s="48" t="s">
        <v>34</v>
      </c>
      <c r="E292" s="48" t="s">
        <v>683</v>
      </c>
      <c r="F292" s="48"/>
      <c r="G292" s="119">
        <f>G293</f>
        <v>513.29999999999995</v>
      </c>
      <c r="H292" s="119">
        <f t="shared" ref="H292:I292" si="96">H293</f>
        <v>520.6</v>
      </c>
      <c r="I292" s="119">
        <f t="shared" si="96"/>
        <v>541.6</v>
      </c>
      <c r="J292" s="139"/>
      <c r="K292" s="139"/>
      <c r="L292" s="139"/>
      <c r="M292" s="139"/>
      <c r="N292" s="139"/>
      <c r="O292" s="139"/>
      <c r="P292" s="139"/>
      <c r="Q292" s="139"/>
      <c r="R292" s="139"/>
      <c r="S292" s="139"/>
      <c r="T292" s="139"/>
    </row>
    <row r="293" spans="1:20" s="5" customFormat="1" ht="25.5" x14ac:dyDescent="0.25">
      <c r="A293" s="24" t="s">
        <v>64</v>
      </c>
      <c r="B293" s="53">
        <v>902</v>
      </c>
      <c r="C293" s="48" t="s">
        <v>30</v>
      </c>
      <c r="D293" s="48" t="s">
        <v>34</v>
      </c>
      <c r="E293" s="48" t="s">
        <v>683</v>
      </c>
      <c r="F293" s="48" t="s">
        <v>65</v>
      </c>
      <c r="G293" s="119">
        <f>500.4+12.9</f>
        <v>513.29999999999995</v>
      </c>
      <c r="H293" s="119">
        <v>520.6</v>
      </c>
      <c r="I293" s="119">
        <v>541.6</v>
      </c>
      <c r="J293" s="139"/>
      <c r="K293" s="139"/>
      <c r="L293" s="139"/>
      <c r="M293" s="139"/>
      <c r="N293" s="139"/>
      <c r="O293" s="139"/>
      <c r="P293" s="139"/>
      <c r="Q293" s="139"/>
      <c r="R293" s="139"/>
      <c r="S293" s="139"/>
      <c r="T293" s="139"/>
    </row>
    <row r="294" spans="1:20" s="5" customFormat="1" ht="25.5" x14ac:dyDescent="0.25">
      <c r="A294" s="24" t="s">
        <v>356</v>
      </c>
      <c r="B294" s="53">
        <v>902</v>
      </c>
      <c r="C294" s="48" t="s">
        <v>30</v>
      </c>
      <c r="D294" s="48" t="s">
        <v>34</v>
      </c>
      <c r="E294" s="48" t="s">
        <v>684</v>
      </c>
      <c r="F294" s="48"/>
      <c r="G294" s="119">
        <f>G295</f>
        <v>1.2</v>
      </c>
      <c r="H294" s="119">
        <f t="shared" ref="H294:I294" si="97">H295</f>
        <v>1.2</v>
      </c>
      <c r="I294" s="119">
        <f t="shared" si="97"/>
        <v>1.2</v>
      </c>
      <c r="J294" s="139"/>
      <c r="K294" s="139"/>
      <c r="L294" s="139"/>
      <c r="M294" s="139"/>
      <c r="N294" s="139"/>
      <c r="O294" s="139"/>
      <c r="P294" s="139"/>
      <c r="Q294" s="139"/>
      <c r="R294" s="139"/>
      <c r="S294" s="139"/>
      <c r="T294" s="139"/>
    </row>
    <row r="295" spans="1:20" s="5" customFormat="1" ht="25.5" x14ac:dyDescent="0.25">
      <c r="A295" s="24" t="s">
        <v>64</v>
      </c>
      <c r="B295" s="53">
        <v>902</v>
      </c>
      <c r="C295" s="48" t="s">
        <v>30</v>
      </c>
      <c r="D295" s="48" t="s">
        <v>34</v>
      </c>
      <c r="E295" s="48" t="s">
        <v>684</v>
      </c>
      <c r="F295" s="48" t="s">
        <v>65</v>
      </c>
      <c r="G295" s="119">
        <v>1.2</v>
      </c>
      <c r="H295" s="119">
        <v>1.2</v>
      </c>
      <c r="I295" s="119">
        <v>1.2</v>
      </c>
      <c r="J295" s="139"/>
      <c r="K295" s="139"/>
      <c r="L295" s="139"/>
      <c r="M295" s="139"/>
      <c r="N295" s="139"/>
      <c r="O295" s="139"/>
      <c r="P295" s="139"/>
      <c r="Q295" s="139"/>
      <c r="R295" s="139"/>
      <c r="S295" s="139"/>
      <c r="T295" s="139"/>
    </row>
    <row r="296" spans="1:20" s="5" customFormat="1" ht="25.5" x14ac:dyDescent="0.25">
      <c r="A296" s="24" t="s">
        <v>698</v>
      </c>
      <c r="B296" s="53">
        <v>902</v>
      </c>
      <c r="C296" s="48" t="s">
        <v>30</v>
      </c>
      <c r="D296" s="48" t="s">
        <v>34</v>
      </c>
      <c r="E296" s="48" t="s">
        <v>705</v>
      </c>
      <c r="F296" s="48"/>
      <c r="G296" s="119">
        <f>G297</f>
        <v>1704.9</v>
      </c>
      <c r="H296" s="119">
        <f t="shared" ref="H296:I296" si="98">H297</f>
        <v>1533</v>
      </c>
      <c r="I296" s="119">
        <f t="shared" si="98"/>
        <v>1533</v>
      </c>
      <c r="J296" s="139"/>
      <c r="K296" s="139"/>
      <c r="L296" s="139"/>
      <c r="M296" s="139"/>
      <c r="N296" s="139"/>
      <c r="O296" s="139"/>
      <c r="P296" s="139"/>
      <c r="Q296" s="139"/>
      <c r="R296" s="139"/>
      <c r="S296" s="139"/>
      <c r="T296" s="139"/>
    </row>
    <row r="297" spans="1:20" s="5" customFormat="1" ht="25.5" x14ac:dyDescent="0.25">
      <c r="A297" s="24" t="s">
        <v>64</v>
      </c>
      <c r="B297" s="53">
        <v>902</v>
      </c>
      <c r="C297" s="48" t="s">
        <v>30</v>
      </c>
      <c r="D297" s="48" t="s">
        <v>34</v>
      </c>
      <c r="E297" s="48" t="s">
        <v>705</v>
      </c>
      <c r="F297" s="48" t="s">
        <v>65</v>
      </c>
      <c r="G297" s="119">
        <f>1533+171.9</f>
        <v>1704.9</v>
      </c>
      <c r="H297" s="119">
        <v>1533</v>
      </c>
      <c r="I297" s="119">
        <v>1533</v>
      </c>
      <c r="J297" s="139"/>
      <c r="K297" s="139"/>
      <c r="L297" s="139"/>
      <c r="M297" s="139"/>
      <c r="N297" s="139"/>
      <c r="O297" s="139"/>
      <c r="P297" s="139"/>
      <c r="Q297" s="139"/>
      <c r="R297" s="139"/>
      <c r="S297" s="139"/>
      <c r="T297" s="139"/>
    </row>
    <row r="298" spans="1:20" s="5" customFormat="1" ht="25.5" x14ac:dyDescent="0.25">
      <c r="A298" s="24" t="s">
        <v>357</v>
      </c>
      <c r="B298" s="53">
        <v>902</v>
      </c>
      <c r="C298" s="48" t="s">
        <v>30</v>
      </c>
      <c r="D298" s="48" t="s">
        <v>34</v>
      </c>
      <c r="E298" s="48" t="s">
        <v>685</v>
      </c>
      <c r="F298" s="48"/>
      <c r="G298" s="119">
        <f>G299</f>
        <v>457.6</v>
      </c>
      <c r="H298" s="119">
        <f t="shared" ref="H298:I298" si="99">H299</f>
        <v>642.29999999999995</v>
      </c>
      <c r="I298" s="119">
        <f t="shared" si="99"/>
        <v>642.29999999999995</v>
      </c>
      <c r="J298" s="139"/>
      <c r="K298" s="139"/>
      <c r="L298" s="139"/>
      <c r="M298" s="139"/>
      <c r="N298" s="139"/>
      <c r="O298" s="139"/>
      <c r="P298" s="139"/>
      <c r="Q298" s="139"/>
      <c r="R298" s="139"/>
      <c r="S298" s="139"/>
      <c r="T298" s="139"/>
    </row>
    <row r="299" spans="1:20" s="5" customFormat="1" ht="25.5" x14ac:dyDescent="0.25">
      <c r="A299" s="24" t="s">
        <v>64</v>
      </c>
      <c r="B299" s="53">
        <v>902</v>
      </c>
      <c r="C299" s="48" t="s">
        <v>30</v>
      </c>
      <c r="D299" s="48" t="s">
        <v>34</v>
      </c>
      <c r="E299" s="48" t="s">
        <v>685</v>
      </c>
      <c r="F299" s="48" t="s">
        <v>65</v>
      </c>
      <c r="G299" s="119">
        <f>642.4-12.9-171.9</f>
        <v>457.6</v>
      </c>
      <c r="H299" s="119">
        <v>642.29999999999995</v>
      </c>
      <c r="I299" s="119">
        <v>642.29999999999995</v>
      </c>
      <c r="J299" s="139"/>
      <c r="K299" s="139"/>
      <c r="L299" s="139"/>
      <c r="M299" s="139"/>
      <c r="N299" s="139"/>
      <c r="O299" s="139"/>
      <c r="P299" s="139"/>
      <c r="Q299" s="139"/>
      <c r="R299" s="139"/>
      <c r="S299" s="139"/>
      <c r="T299" s="139"/>
    </row>
    <row r="300" spans="1:20" s="5" customFormat="1" ht="25.5" x14ac:dyDescent="0.25">
      <c r="A300" s="24" t="s">
        <v>949</v>
      </c>
      <c r="B300" s="53">
        <v>902</v>
      </c>
      <c r="C300" s="48" t="s">
        <v>30</v>
      </c>
      <c r="D300" s="48" t="s">
        <v>34</v>
      </c>
      <c r="E300" s="48" t="s">
        <v>948</v>
      </c>
      <c r="F300" s="48"/>
      <c r="G300" s="119">
        <f>G301</f>
        <v>3000</v>
      </c>
      <c r="H300" s="119">
        <f t="shared" ref="H300:I301" si="100">H301</f>
        <v>2220</v>
      </c>
      <c r="I300" s="119">
        <f t="shared" si="100"/>
        <v>2220</v>
      </c>
      <c r="J300" s="139"/>
      <c r="K300" s="139"/>
      <c r="L300" s="139"/>
      <c r="M300" s="139"/>
      <c r="N300" s="139"/>
      <c r="O300" s="139"/>
      <c r="P300" s="139"/>
      <c r="Q300" s="139"/>
      <c r="R300" s="139"/>
      <c r="S300" s="139"/>
      <c r="T300" s="139"/>
    </row>
    <row r="301" spans="1:20" s="5" customFormat="1" ht="51" x14ac:dyDescent="0.25">
      <c r="A301" s="24" t="s">
        <v>947</v>
      </c>
      <c r="B301" s="53">
        <v>902</v>
      </c>
      <c r="C301" s="48" t="s">
        <v>30</v>
      </c>
      <c r="D301" s="48" t="s">
        <v>34</v>
      </c>
      <c r="E301" s="48" t="s">
        <v>950</v>
      </c>
      <c r="F301" s="48"/>
      <c r="G301" s="119">
        <f>G302</f>
        <v>3000</v>
      </c>
      <c r="H301" s="119">
        <f t="shared" si="100"/>
        <v>2220</v>
      </c>
      <c r="I301" s="119">
        <f t="shared" si="100"/>
        <v>2220</v>
      </c>
      <c r="J301" s="139"/>
      <c r="K301" s="139"/>
      <c r="L301" s="139"/>
      <c r="M301" s="139"/>
      <c r="N301" s="139"/>
      <c r="O301" s="139"/>
      <c r="P301" s="139"/>
      <c r="Q301" s="139"/>
      <c r="R301" s="139"/>
      <c r="S301" s="139"/>
      <c r="T301" s="139"/>
    </row>
    <row r="302" spans="1:20" s="5" customFormat="1" ht="25.5" x14ac:dyDescent="0.25">
      <c r="A302" s="24" t="s">
        <v>64</v>
      </c>
      <c r="B302" s="53">
        <v>902</v>
      </c>
      <c r="C302" s="48" t="s">
        <v>30</v>
      </c>
      <c r="D302" s="48" t="s">
        <v>34</v>
      </c>
      <c r="E302" s="48" t="s">
        <v>950</v>
      </c>
      <c r="F302" s="48" t="s">
        <v>65</v>
      </c>
      <c r="G302" s="119">
        <f>2220+780</f>
        <v>3000</v>
      </c>
      <c r="H302" s="119">
        <v>2220</v>
      </c>
      <c r="I302" s="119">
        <v>2220</v>
      </c>
      <c r="J302" s="139"/>
      <c r="K302" s="139"/>
      <c r="L302" s="139"/>
      <c r="M302" s="139"/>
      <c r="N302" s="139"/>
      <c r="O302" s="139"/>
      <c r="P302" s="139"/>
      <c r="Q302" s="139"/>
      <c r="R302" s="139"/>
      <c r="S302" s="139"/>
      <c r="T302" s="139"/>
    </row>
    <row r="303" spans="1:20" s="5" customFormat="1" ht="25.5" x14ac:dyDescent="0.25">
      <c r="A303" s="24" t="s">
        <v>164</v>
      </c>
      <c r="B303" s="53">
        <v>902</v>
      </c>
      <c r="C303" s="48" t="s">
        <v>30</v>
      </c>
      <c r="D303" s="48" t="s">
        <v>34</v>
      </c>
      <c r="E303" s="48" t="s">
        <v>101</v>
      </c>
      <c r="F303" s="48"/>
      <c r="G303" s="119">
        <f>G304</f>
        <v>5716.6</v>
      </c>
      <c r="H303" s="119">
        <f t="shared" ref="H303:I303" si="101">H304</f>
        <v>3854.7</v>
      </c>
      <c r="I303" s="119">
        <f t="shared" si="101"/>
        <v>3854.7</v>
      </c>
      <c r="J303" s="139"/>
      <c r="K303" s="139"/>
      <c r="L303" s="139"/>
      <c r="M303" s="139"/>
      <c r="N303" s="139"/>
      <c r="O303" s="139"/>
      <c r="P303" s="139"/>
      <c r="Q303" s="139"/>
      <c r="R303" s="139"/>
      <c r="S303" s="139"/>
      <c r="T303" s="139"/>
    </row>
    <row r="304" spans="1:20" s="5" customFormat="1" ht="89.25" x14ac:dyDescent="0.25">
      <c r="A304" s="24" t="s">
        <v>337</v>
      </c>
      <c r="B304" s="53">
        <v>902</v>
      </c>
      <c r="C304" s="48" t="s">
        <v>30</v>
      </c>
      <c r="D304" s="48" t="s">
        <v>34</v>
      </c>
      <c r="E304" s="48" t="s">
        <v>260</v>
      </c>
      <c r="F304" s="48"/>
      <c r="G304" s="119">
        <f>G305</f>
        <v>5716.6</v>
      </c>
      <c r="H304" s="119">
        <f t="shared" ref="H304:I304" si="102">H305</f>
        <v>3854.7</v>
      </c>
      <c r="I304" s="119">
        <f t="shared" si="102"/>
        <v>3854.7</v>
      </c>
      <c r="J304" s="139"/>
      <c r="K304" s="139"/>
      <c r="L304" s="139"/>
      <c r="M304" s="139"/>
      <c r="N304" s="139"/>
      <c r="O304" s="139"/>
      <c r="P304" s="139"/>
      <c r="Q304" s="139"/>
      <c r="R304" s="139"/>
      <c r="S304" s="139"/>
      <c r="T304" s="139"/>
    </row>
    <row r="305" spans="1:20" s="5" customFormat="1" ht="38.25" x14ac:dyDescent="0.25">
      <c r="A305" s="24" t="s">
        <v>225</v>
      </c>
      <c r="B305" s="53">
        <v>902</v>
      </c>
      <c r="C305" s="48" t="s">
        <v>30</v>
      </c>
      <c r="D305" s="48" t="s">
        <v>34</v>
      </c>
      <c r="E305" s="48" t="s">
        <v>260</v>
      </c>
      <c r="F305" s="48" t="s">
        <v>66</v>
      </c>
      <c r="G305" s="119">
        <f>3854.7+1861.9</f>
        <v>5716.6</v>
      </c>
      <c r="H305" s="119">
        <v>3854.7</v>
      </c>
      <c r="I305" s="119">
        <v>3854.7</v>
      </c>
      <c r="J305" s="139"/>
      <c r="K305" s="139"/>
      <c r="L305" s="139"/>
      <c r="M305" s="139"/>
      <c r="N305" s="139"/>
      <c r="O305" s="139"/>
      <c r="P305" s="139"/>
      <c r="Q305" s="139"/>
      <c r="R305" s="139"/>
      <c r="S305" s="139"/>
      <c r="T305" s="139"/>
    </row>
    <row r="306" spans="1:20" s="5" customFormat="1" ht="25.5" x14ac:dyDescent="0.25">
      <c r="A306" s="24" t="s">
        <v>321</v>
      </c>
      <c r="B306" s="53">
        <v>902</v>
      </c>
      <c r="C306" s="48" t="s">
        <v>30</v>
      </c>
      <c r="D306" s="48" t="s">
        <v>34</v>
      </c>
      <c r="E306" s="48" t="s">
        <v>322</v>
      </c>
      <c r="F306" s="48"/>
      <c r="G306" s="119">
        <f>G307</f>
        <v>365</v>
      </c>
      <c r="H306" s="119">
        <f t="shared" ref="H306:I307" si="103">H307</f>
        <v>0</v>
      </c>
      <c r="I306" s="119">
        <f t="shared" si="103"/>
        <v>0</v>
      </c>
      <c r="J306" s="139"/>
      <c r="K306" s="139"/>
      <c r="L306" s="139"/>
      <c r="M306" s="139"/>
      <c r="N306" s="139"/>
      <c r="O306" s="139"/>
      <c r="P306" s="139"/>
      <c r="Q306" s="139"/>
      <c r="R306" s="139"/>
      <c r="S306" s="139"/>
      <c r="T306" s="139"/>
    </row>
    <row r="307" spans="1:20" s="5" customFormat="1" ht="15" x14ac:dyDescent="0.25">
      <c r="A307" s="24" t="s">
        <v>133</v>
      </c>
      <c r="B307" s="53">
        <v>902</v>
      </c>
      <c r="C307" s="48" t="s">
        <v>30</v>
      </c>
      <c r="D307" s="48" t="s">
        <v>34</v>
      </c>
      <c r="E307" s="48" t="s">
        <v>862</v>
      </c>
      <c r="F307" s="48"/>
      <c r="G307" s="119">
        <f>G308</f>
        <v>365</v>
      </c>
      <c r="H307" s="119">
        <f t="shared" si="103"/>
        <v>0</v>
      </c>
      <c r="I307" s="119">
        <f t="shared" si="103"/>
        <v>0</v>
      </c>
      <c r="J307" s="139"/>
      <c r="K307" s="139"/>
      <c r="L307" s="139"/>
      <c r="M307" s="139"/>
      <c r="N307" s="139"/>
      <c r="O307" s="139"/>
      <c r="P307" s="139"/>
      <c r="Q307" s="139"/>
      <c r="R307" s="139"/>
      <c r="S307" s="139"/>
      <c r="T307" s="139"/>
    </row>
    <row r="308" spans="1:20" s="5" customFormat="1" ht="25.5" x14ac:dyDescent="0.25">
      <c r="A308" s="24" t="s">
        <v>64</v>
      </c>
      <c r="B308" s="53">
        <v>902</v>
      </c>
      <c r="C308" s="48" t="s">
        <v>30</v>
      </c>
      <c r="D308" s="48" t="s">
        <v>34</v>
      </c>
      <c r="E308" s="48" t="s">
        <v>862</v>
      </c>
      <c r="F308" s="48" t="s">
        <v>65</v>
      </c>
      <c r="G308" s="119">
        <v>365</v>
      </c>
      <c r="H308" s="119">
        <v>0</v>
      </c>
      <c r="I308" s="119">
        <v>0</v>
      </c>
      <c r="J308" s="139"/>
      <c r="K308" s="139"/>
      <c r="L308" s="139"/>
      <c r="M308" s="139"/>
      <c r="N308" s="139"/>
      <c r="O308" s="139"/>
      <c r="P308" s="139"/>
      <c r="Q308" s="139"/>
      <c r="R308" s="139"/>
      <c r="S308" s="139"/>
      <c r="T308" s="139"/>
    </row>
    <row r="309" spans="1:20" s="5" customFormat="1" ht="15" x14ac:dyDescent="0.25">
      <c r="A309" s="24" t="s">
        <v>94</v>
      </c>
      <c r="B309" s="53">
        <v>902</v>
      </c>
      <c r="C309" s="48" t="s">
        <v>30</v>
      </c>
      <c r="D309" s="48" t="s">
        <v>34</v>
      </c>
      <c r="E309" s="48" t="s">
        <v>120</v>
      </c>
      <c r="F309" s="48"/>
      <c r="G309" s="119">
        <f>G310</f>
        <v>100</v>
      </c>
      <c r="H309" s="119">
        <f t="shared" ref="H309:H310" si="104">H310</f>
        <v>100</v>
      </c>
      <c r="I309" s="119">
        <f t="shared" ref="I309:I310" si="105">I310</f>
        <v>100</v>
      </c>
      <c r="J309" s="139"/>
      <c r="K309" s="139"/>
      <c r="L309" s="139"/>
      <c r="M309" s="139"/>
      <c r="N309" s="139"/>
      <c r="O309" s="139"/>
      <c r="P309" s="139"/>
      <c r="Q309" s="139"/>
      <c r="R309" s="139"/>
      <c r="S309" s="139"/>
      <c r="T309" s="139"/>
    </row>
    <row r="310" spans="1:20" s="5" customFormat="1" ht="15" x14ac:dyDescent="0.25">
      <c r="A310" s="24" t="s">
        <v>379</v>
      </c>
      <c r="B310" s="53">
        <v>902</v>
      </c>
      <c r="C310" s="48" t="s">
        <v>30</v>
      </c>
      <c r="D310" s="48" t="s">
        <v>34</v>
      </c>
      <c r="E310" s="48" t="s">
        <v>380</v>
      </c>
      <c r="F310" s="48"/>
      <c r="G310" s="119">
        <f>G311</f>
        <v>100</v>
      </c>
      <c r="H310" s="119">
        <f t="shared" si="104"/>
        <v>100</v>
      </c>
      <c r="I310" s="119">
        <f t="shared" si="105"/>
        <v>100</v>
      </c>
      <c r="J310" s="139"/>
      <c r="K310" s="139"/>
      <c r="L310" s="139"/>
      <c r="M310" s="139"/>
      <c r="N310" s="139"/>
      <c r="O310" s="139"/>
      <c r="P310" s="139"/>
      <c r="Q310" s="139"/>
      <c r="R310" s="139"/>
      <c r="S310" s="139"/>
      <c r="T310" s="139"/>
    </row>
    <row r="311" spans="1:20" s="5" customFormat="1" ht="25.5" x14ac:dyDescent="0.25">
      <c r="A311" s="24" t="s">
        <v>226</v>
      </c>
      <c r="B311" s="53">
        <v>902</v>
      </c>
      <c r="C311" s="48" t="s">
        <v>30</v>
      </c>
      <c r="D311" s="48" t="s">
        <v>34</v>
      </c>
      <c r="E311" s="48" t="s">
        <v>380</v>
      </c>
      <c r="F311" s="48" t="s">
        <v>59</v>
      </c>
      <c r="G311" s="119">
        <v>100</v>
      </c>
      <c r="H311" s="119">
        <v>100</v>
      </c>
      <c r="I311" s="119">
        <v>100</v>
      </c>
      <c r="J311" s="139"/>
      <c r="K311" s="139"/>
      <c r="L311" s="139"/>
      <c r="M311" s="139"/>
      <c r="N311" s="139"/>
      <c r="O311" s="139"/>
      <c r="P311" s="139"/>
      <c r="Q311" s="139"/>
      <c r="R311" s="139"/>
      <c r="S311" s="139"/>
      <c r="T311" s="139"/>
    </row>
    <row r="312" spans="1:20" s="5" customFormat="1" ht="15" x14ac:dyDescent="0.25">
      <c r="A312" s="24" t="s">
        <v>9</v>
      </c>
      <c r="B312" s="53">
        <v>902</v>
      </c>
      <c r="C312" s="48" t="s">
        <v>33</v>
      </c>
      <c r="D312" s="48"/>
      <c r="E312" s="48"/>
      <c r="F312" s="48"/>
      <c r="G312" s="119">
        <f t="shared" ref="G312:I314" si="106">G313</f>
        <v>1907</v>
      </c>
      <c r="H312" s="119">
        <f t="shared" si="106"/>
        <v>1907</v>
      </c>
      <c r="I312" s="119">
        <f t="shared" si="106"/>
        <v>1907</v>
      </c>
      <c r="J312" s="139"/>
      <c r="K312" s="139"/>
      <c r="L312" s="139"/>
      <c r="M312" s="139"/>
      <c r="N312" s="139"/>
      <c r="O312" s="139"/>
      <c r="P312" s="139"/>
      <c r="Q312" s="139"/>
      <c r="R312" s="139"/>
      <c r="S312" s="139"/>
      <c r="T312" s="139"/>
    </row>
    <row r="313" spans="1:20" s="5" customFormat="1" ht="15" x14ac:dyDescent="0.25">
      <c r="A313" s="24" t="s">
        <v>41</v>
      </c>
      <c r="B313" s="53">
        <v>902</v>
      </c>
      <c r="C313" s="48" t="s">
        <v>33</v>
      </c>
      <c r="D313" s="48" t="s">
        <v>29</v>
      </c>
      <c r="E313" s="48"/>
      <c r="F313" s="48"/>
      <c r="G313" s="119">
        <f t="shared" si="106"/>
        <v>1907</v>
      </c>
      <c r="H313" s="119">
        <f t="shared" si="106"/>
        <v>1907</v>
      </c>
      <c r="I313" s="119">
        <f t="shared" si="106"/>
        <v>1907</v>
      </c>
      <c r="J313" s="139"/>
      <c r="K313" s="139"/>
      <c r="L313" s="139"/>
      <c r="M313" s="139"/>
      <c r="N313" s="139"/>
      <c r="O313" s="139"/>
      <c r="P313" s="139"/>
      <c r="Q313" s="139"/>
      <c r="R313" s="139"/>
      <c r="S313" s="139"/>
      <c r="T313" s="139"/>
    </row>
    <row r="314" spans="1:20" s="5" customFormat="1" ht="25.5" x14ac:dyDescent="0.25">
      <c r="A314" s="24" t="s">
        <v>99</v>
      </c>
      <c r="B314" s="53">
        <v>902</v>
      </c>
      <c r="C314" s="48" t="s">
        <v>33</v>
      </c>
      <c r="D314" s="48" t="s">
        <v>29</v>
      </c>
      <c r="E314" s="48" t="s">
        <v>101</v>
      </c>
      <c r="F314" s="48"/>
      <c r="G314" s="119">
        <f>G315</f>
        <v>1907</v>
      </c>
      <c r="H314" s="119">
        <f t="shared" si="106"/>
        <v>1907</v>
      </c>
      <c r="I314" s="119">
        <f t="shared" si="106"/>
        <v>1907</v>
      </c>
      <c r="J314" s="139"/>
      <c r="K314" s="139"/>
      <c r="L314" s="139"/>
      <c r="M314" s="139"/>
      <c r="N314" s="139"/>
      <c r="O314" s="139"/>
      <c r="P314" s="139"/>
      <c r="Q314" s="139"/>
      <c r="R314" s="139"/>
      <c r="S314" s="139"/>
      <c r="T314" s="139"/>
    </row>
    <row r="315" spans="1:20" s="5" customFormat="1" ht="51" x14ac:dyDescent="0.25">
      <c r="A315" s="24" t="s">
        <v>259</v>
      </c>
      <c r="B315" s="53">
        <v>902</v>
      </c>
      <c r="C315" s="48" t="s">
        <v>33</v>
      </c>
      <c r="D315" s="48" t="s">
        <v>29</v>
      </c>
      <c r="E315" s="48" t="s">
        <v>169</v>
      </c>
      <c r="F315" s="48"/>
      <c r="G315" s="119">
        <f>G316+G317</f>
        <v>1907</v>
      </c>
      <c r="H315" s="119">
        <f>H316+H317</f>
        <v>1907</v>
      </c>
      <c r="I315" s="119">
        <f>I316+I317</f>
        <v>1907</v>
      </c>
      <c r="J315" s="139"/>
      <c r="K315" s="139"/>
      <c r="L315" s="139"/>
      <c r="M315" s="139"/>
      <c r="N315" s="139"/>
      <c r="O315" s="139"/>
      <c r="P315" s="139"/>
      <c r="Q315" s="139"/>
      <c r="R315" s="139"/>
      <c r="S315" s="139"/>
      <c r="T315" s="139"/>
    </row>
    <row r="316" spans="1:20" s="5" customFormat="1" ht="25.5" x14ac:dyDescent="0.25">
      <c r="A316" s="24" t="s">
        <v>226</v>
      </c>
      <c r="B316" s="53">
        <v>902</v>
      </c>
      <c r="C316" s="48" t="s">
        <v>33</v>
      </c>
      <c r="D316" s="48" t="s">
        <v>29</v>
      </c>
      <c r="E316" s="48" t="s">
        <v>169</v>
      </c>
      <c r="F316" s="48" t="s">
        <v>59</v>
      </c>
      <c r="G316" s="119">
        <v>9.5</v>
      </c>
      <c r="H316" s="119">
        <v>9.5</v>
      </c>
      <c r="I316" s="119">
        <v>9.5</v>
      </c>
      <c r="J316" s="139"/>
      <c r="K316" s="139"/>
      <c r="L316" s="139"/>
      <c r="M316" s="139"/>
      <c r="N316" s="139"/>
      <c r="O316" s="139"/>
      <c r="P316" s="139"/>
      <c r="Q316" s="139"/>
      <c r="R316" s="139"/>
      <c r="S316" s="139"/>
      <c r="T316" s="139"/>
    </row>
    <row r="317" spans="1:20" s="5" customFormat="1" ht="15" x14ac:dyDescent="0.25">
      <c r="A317" s="24" t="s">
        <v>85</v>
      </c>
      <c r="B317" s="53">
        <v>902</v>
      </c>
      <c r="C317" s="48" t="s">
        <v>33</v>
      </c>
      <c r="D317" s="48" t="s">
        <v>29</v>
      </c>
      <c r="E317" s="48" t="s">
        <v>169</v>
      </c>
      <c r="F317" s="48" t="s">
        <v>86</v>
      </c>
      <c r="G317" s="119">
        <v>1897.5</v>
      </c>
      <c r="H317" s="119">
        <v>1897.5</v>
      </c>
      <c r="I317" s="119">
        <v>1897.5</v>
      </c>
      <c r="J317" s="139"/>
      <c r="K317" s="139"/>
      <c r="L317" s="139"/>
      <c r="M317" s="139"/>
      <c r="N317" s="139"/>
      <c r="O317" s="139"/>
      <c r="P317" s="139"/>
      <c r="Q317" s="139"/>
      <c r="R317" s="139"/>
      <c r="S317" s="139"/>
      <c r="T317" s="139"/>
    </row>
    <row r="318" spans="1:20" s="96" customFormat="1" ht="31.5" x14ac:dyDescent="0.2">
      <c r="A318" s="86" t="s">
        <v>17</v>
      </c>
      <c r="B318" s="52">
        <v>905</v>
      </c>
      <c r="C318" s="44"/>
      <c r="D318" s="44"/>
      <c r="E318" s="44"/>
      <c r="F318" s="44"/>
      <c r="G318" s="116">
        <f>G319</f>
        <v>249644.00000000003</v>
      </c>
      <c r="H318" s="116">
        <f t="shared" ref="H318:I318" si="107">H319</f>
        <v>262947.40000000002</v>
      </c>
      <c r="I318" s="116">
        <f t="shared" si="107"/>
        <v>281431.40000000002</v>
      </c>
      <c r="J318" s="175"/>
      <c r="K318" s="175"/>
      <c r="L318" s="175"/>
      <c r="M318" s="239"/>
      <c r="N318" s="239"/>
      <c r="O318" s="239"/>
      <c r="P318" s="239"/>
      <c r="Q318" s="239"/>
      <c r="R318" s="239"/>
      <c r="S318" s="239"/>
      <c r="T318" s="239"/>
    </row>
    <row r="319" spans="1:20" s="6" customFormat="1" ht="18" customHeight="1" x14ac:dyDescent="0.25">
      <c r="A319" s="24" t="s">
        <v>296</v>
      </c>
      <c r="B319" s="53">
        <v>905</v>
      </c>
      <c r="C319" s="48" t="s">
        <v>31</v>
      </c>
      <c r="D319" s="48"/>
      <c r="E319" s="48"/>
      <c r="F319" s="48"/>
      <c r="G319" s="119">
        <f>G320+G393</f>
        <v>249644.00000000003</v>
      </c>
      <c r="H319" s="119">
        <f>H320+H393</f>
        <v>262947.40000000002</v>
      </c>
      <c r="I319" s="119">
        <f>I320+I393</f>
        <v>281431.40000000002</v>
      </c>
      <c r="J319" s="176"/>
      <c r="K319" s="176"/>
      <c r="L319" s="176"/>
      <c r="M319" s="67"/>
      <c r="N319" s="67"/>
      <c r="O319" s="67"/>
      <c r="P319" s="67"/>
      <c r="Q319" s="67"/>
      <c r="R319" s="67"/>
      <c r="S319" s="67"/>
      <c r="T319" s="67"/>
    </row>
    <row r="320" spans="1:20" s="6" customFormat="1" x14ac:dyDescent="0.25">
      <c r="A320" s="24" t="s">
        <v>18</v>
      </c>
      <c r="B320" s="53">
        <v>905</v>
      </c>
      <c r="C320" s="48" t="s">
        <v>31</v>
      </c>
      <c r="D320" s="48" t="s">
        <v>26</v>
      </c>
      <c r="E320" s="48"/>
      <c r="F320" s="48"/>
      <c r="G320" s="119">
        <f>G325+G385+G390+G321</f>
        <v>238989.20000000004</v>
      </c>
      <c r="H320" s="119">
        <f>H325+H385+H390+H321</f>
        <v>251913.2</v>
      </c>
      <c r="I320" s="119">
        <f>I325+I385+I390+I321</f>
        <v>269976.90000000002</v>
      </c>
      <c r="J320" s="170"/>
      <c r="K320" s="170"/>
      <c r="L320" s="170"/>
      <c r="M320" s="67"/>
      <c r="N320" s="67"/>
      <c r="O320" s="67"/>
      <c r="P320" s="67"/>
      <c r="Q320" s="67"/>
      <c r="R320" s="67"/>
      <c r="S320" s="67"/>
      <c r="T320" s="67"/>
    </row>
    <row r="321" spans="1:20" s="6" customFormat="1" ht="25.5" x14ac:dyDescent="0.25">
      <c r="A321" s="23" t="s">
        <v>546</v>
      </c>
      <c r="B321" s="53">
        <v>905</v>
      </c>
      <c r="C321" s="48" t="s">
        <v>31</v>
      </c>
      <c r="D321" s="48" t="s">
        <v>26</v>
      </c>
      <c r="E321" s="48" t="s">
        <v>143</v>
      </c>
      <c r="F321" s="48"/>
      <c r="G321" s="119">
        <f>G322</f>
        <v>0</v>
      </c>
      <c r="H321" s="119">
        <f t="shared" ref="H321:I323" si="108">H322</f>
        <v>0</v>
      </c>
      <c r="I321" s="119">
        <f t="shared" si="108"/>
        <v>2499.9</v>
      </c>
      <c r="J321" s="239"/>
      <c r="K321" s="239"/>
      <c r="L321" s="239"/>
      <c r="M321" s="67"/>
      <c r="N321" s="67"/>
      <c r="O321" s="67"/>
      <c r="P321" s="67"/>
      <c r="Q321" s="67"/>
      <c r="R321" s="67"/>
      <c r="S321" s="67"/>
      <c r="T321" s="67"/>
    </row>
    <row r="322" spans="1:20" s="6" customFormat="1" ht="38.25" x14ac:dyDescent="0.25">
      <c r="A322" s="23" t="s">
        <v>809</v>
      </c>
      <c r="B322" s="53">
        <v>905</v>
      </c>
      <c r="C322" s="48" t="s">
        <v>31</v>
      </c>
      <c r="D322" s="48" t="s">
        <v>26</v>
      </c>
      <c r="E322" s="48" t="s">
        <v>144</v>
      </c>
      <c r="F322" s="48"/>
      <c r="G322" s="119">
        <f>G323</f>
        <v>0</v>
      </c>
      <c r="H322" s="119">
        <f t="shared" si="108"/>
        <v>0</v>
      </c>
      <c r="I322" s="119">
        <f t="shared" si="108"/>
        <v>2499.9</v>
      </c>
      <c r="J322" s="239"/>
      <c r="K322" s="239"/>
      <c r="L322" s="239"/>
      <c r="M322" s="67"/>
      <c r="N322" s="67"/>
      <c r="O322" s="67"/>
      <c r="P322" s="67"/>
      <c r="Q322" s="67"/>
      <c r="R322" s="67"/>
      <c r="S322" s="67"/>
      <c r="T322" s="67"/>
    </row>
    <row r="323" spans="1:20" s="6" customFormat="1" x14ac:dyDescent="0.25">
      <c r="A323" s="24" t="s">
        <v>344</v>
      </c>
      <c r="B323" s="53">
        <v>905</v>
      </c>
      <c r="C323" s="48" t="s">
        <v>31</v>
      </c>
      <c r="D323" s="48" t="s">
        <v>26</v>
      </c>
      <c r="E323" s="48" t="s">
        <v>345</v>
      </c>
      <c r="F323" s="48"/>
      <c r="G323" s="119">
        <f>G324</f>
        <v>0</v>
      </c>
      <c r="H323" s="119">
        <f t="shared" si="108"/>
        <v>0</v>
      </c>
      <c r="I323" s="119">
        <f t="shared" si="108"/>
        <v>2499.9</v>
      </c>
      <c r="J323" s="239"/>
      <c r="K323" s="239"/>
      <c r="L323" s="239"/>
      <c r="M323" s="67"/>
      <c r="N323" s="67"/>
      <c r="O323" s="67"/>
      <c r="P323" s="67"/>
      <c r="Q323" s="67"/>
      <c r="R323" s="67"/>
      <c r="S323" s="67"/>
      <c r="T323" s="67"/>
    </row>
    <row r="324" spans="1:20" s="6" customFormat="1" ht="25.5" x14ac:dyDescent="0.25">
      <c r="A324" s="24" t="s">
        <v>64</v>
      </c>
      <c r="B324" s="53">
        <v>905</v>
      </c>
      <c r="C324" s="48" t="s">
        <v>31</v>
      </c>
      <c r="D324" s="48" t="s">
        <v>26</v>
      </c>
      <c r="E324" s="48" t="s">
        <v>345</v>
      </c>
      <c r="F324" s="48" t="s">
        <v>65</v>
      </c>
      <c r="G324" s="119">
        <v>0</v>
      </c>
      <c r="H324" s="119">
        <v>0</v>
      </c>
      <c r="I324" s="119">
        <v>2499.9</v>
      </c>
      <c r="J324" s="239"/>
      <c r="K324" s="239"/>
      <c r="L324" s="239"/>
      <c r="M324" s="67"/>
      <c r="N324" s="67"/>
      <c r="O324" s="67"/>
      <c r="P324" s="67"/>
      <c r="Q324" s="67"/>
      <c r="R324" s="67"/>
      <c r="S324" s="67"/>
      <c r="T324" s="67"/>
    </row>
    <row r="325" spans="1:20" s="6" customFormat="1" ht="25.5" x14ac:dyDescent="0.25">
      <c r="A325" s="24" t="s">
        <v>494</v>
      </c>
      <c r="B325" s="53">
        <v>905</v>
      </c>
      <c r="C325" s="48" t="s">
        <v>31</v>
      </c>
      <c r="D325" s="48" t="s">
        <v>26</v>
      </c>
      <c r="E325" s="48" t="s">
        <v>119</v>
      </c>
      <c r="F325" s="48"/>
      <c r="G325" s="119">
        <f>G326+G374</f>
        <v>238639.20000000004</v>
      </c>
      <c r="H325" s="119">
        <f>H326+H374</f>
        <v>251563.2</v>
      </c>
      <c r="I325" s="119">
        <f>I326+I374</f>
        <v>267127</v>
      </c>
      <c r="J325" s="239"/>
      <c r="K325" s="239"/>
      <c r="L325" s="239"/>
      <c r="M325" s="67"/>
      <c r="N325" s="67"/>
      <c r="O325" s="67"/>
      <c r="P325" s="67"/>
      <c r="Q325" s="67"/>
      <c r="R325" s="67"/>
      <c r="S325" s="67"/>
      <c r="T325" s="67"/>
    </row>
    <row r="326" spans="1:20" s="6" customFormat="1" x14ac:dyDescent="0.25">
      <c r="A326" s="24" t="s">
        <v>755</v>
      </c>
      <c r="B326" s="53">
        <v>905</v>
      </c>
      <c r="C326" s="48" t="s">
        <v>31</v>
      </c>
      <c r="D326" s="48" t="s">
        <v>26</v>
      </c>
      <c r="E326" s="48" t="s">
        <v>495</v>
      </c>
      <c r="F326" s="48"/>
      <c r="G326" s="119">
        <f>G327+G346+G365+G371</f>
        <v>238289.20000000004</v>
      </c>
      <c r="H326" s="119">
        <f t="shared" ref="H326:I326" si="109">H327+H346+H365+H371</f>
        <v>251213.2</v>
      </c>
      <c r="I326" s="119">
        <f t="shared" si="109"/>
        <v>266777</v>
      </c>
      <c r="J326" s="239"/>
      <c r="K326" s="239"/>
      <c r="L326" s="239"/>
      <c r="M326" s="67"/>
      <c r="N326" s="67"/>
      <c r="O326" s="67"/>
      <c r="P326" s="67"/>
      <c r="Q326" s="67"/>
      <c r="R326" s="67"/>
      <c r="S326" s="67"/>
      <c r="T326" s="67"/>
    </row>
    <row r="327" spans="1:20" s="6" customFormat="1" x14ac:dyDescent="0.25">
      <c r="A327" s="24" t="s">
        <v>787</v>
      </c>
      <c r="B327" s="53">
        <v>905</v>
      </c>
      <c r="C327" s="48" t="s">
        <v>31</v>
      </c>
      <c r="D327" s="48" t="s">
        <v>26</v>
      </c>
      <c r="E327" s="48" t="s">
        <v>520</v>
      </c>
      <c r="F327" s="48"/>
      <c r="G327" s="119">
        <f>G328+G339+G341+G343</f>
        <v>61004.3</v>
      </c>
      <c r="H327" s="119">
        <f t="shared" ref="H327:I327" si="110">H328+H339+H341+H344</f>
        <v>64693.30000000001</v>
      </c>
      <c r="I327" s="119">
        <f t="shared" si="110"/>
        <v>68284.2</v>
      </c>
      <c r="J327" s="239"/>
      <c r="K327" s="239"/>
      <c r="L327" s="239"/>
      <c r="M327" s="67"/>
      <c r="N327" s="67"/>
      <c r="O327" s="67"/>
      <c r="P327" s="67"/>
      <c r="Q327" s="67"/>
      <c r="R327" s="67"/>
      <c r="S327" s="67"/>
      <c r="T327" s="67"/>
    </row>
    <row r="328" spans="1:20" s="6" customFormat="1" ht="25.5" x14ac:dyDescent="0.25">
      <c r="A328" s="24" t="s">
        <v>242</v>
      </c>
      <c r="B328" s="53">
        <v>905</v>
      </c>
      <c r="C328" s="48" t="s">
        <v>31</v>
      </c>
      <c r="D328" s="48" t="s">
        <v>26</v>
      </c>
      <c r="E328" s="48" t="s">
        <v>521</v>
      </c>
      <c r="F328" s="48"/>
      <c r="G328" s="119">
        <f>G329+G331+G333+G337+G335</f>
        <v>60368</v>
      </c>
      <c r="H328" s="119">
        <f t="shared" ref="H328:I328" si="111">H329+H331+H333+H337+H335</f>
        <v>64064.80000000001</v>
      </c>
      <c r="I328" s="119">
        <f t="shared" si="111"/>
        <v>67662.2</v>
      </c>
      <c r="J328" s="239"/>
      <c r="K328" s="239"/>
      <c r="L328" s="239"/>
      <c r="M328" s="67"/>
      <c r="N328" s="67"/>
      <c r="O328" s="67"/>
      <c r="P328" s="67"/>
      <c r="Q328" s="67"/>
      <c r="R328" s="67"/>
      <c r="S328" s="67"/>
      <c r="T328" s="67"/>
    </row>
    <row r="329" spans="1:20" s="82" customFormat="1" ht="38.25" x14ac:dyDescent="0.25">
      <c r="A329" s="24" t="s">
        <v>354</v>
      </c>
      <c r="B329" s="53">
        <v>905</v>
      </c>
      <c r="C329" s="48" t="s">
        <v>31</v>
      </c>
      <c r="D329" s="48" t="s">
        <v>26</v>
      </c>
      <c r="E329" s="48" t="s">
        <v>522</v>
      </c>
      <c r="F329" s="48"/>
      <c r="G329" s="119">
        <f>G330</f>
        <v>55118.2</v>
      </c>
      <c r="H329" s="119">
        <f>H330</f>
        <v>58776.4</v>
      </c>
      <c r="I329" s="119">
        <f>I330</f>
        <v>62333.9</v>
      </c>
      <c r="J329" s="239"/>
      <c r="K329" s="239"/>
      <c r="L329" s="239"/>
      <c r="M329" s="239"/>
      <c r="N329" s="239"/>
      <c r="O329" s="239"/>
      <c r="P329" s="239"/>
      <c r="Q329" s="239"/>
      <c r="R329" s="239"/>
      <c r="S329" s="239"/>
      <c r="T329" s="239"/>
    </row>
    <row r="330" spans="1:20" s="82" customFormat="1" ht="25.5" x14ac:dyDescent="0.25">
      <c r="A330" s="24" t="s">
        <v>64</v>
      </c>
      <c r="B330" s="53">
        <v>905</v>
      </c>
      <c r="C330" s="48" t="s">
        <v>31</v>
      </c>
      <c r="D330" s="48" t="s">
        <v>26</v>
      </c>
      <c r="E330" s="48" t="s">
        <v>522</v>
      </c>
      <c r="F330" s="48" t="s">
        <v>65</v>
      </c>
      <c r="G330" s="119">
        <f>55147.7-29.5</f>
        <v>55118.2</v>
      </c>
      <c r="H330" s="119">
        <f>58787.6-11.2</f>
        <v>58776.4</v>
      </c>
      <c r="I330" s="119">
        <f>62373.6-39.7</f>
        <v>62333.9</v>
      </c>
      <c r="J330" s="239"/>
      <c r="K330" s="239"/>
      <c r="L330" s="236"/>
      <c r="M330" s="239"/>
      <c r="N330" s="239"/>
      <c r="O330" s="239"/>
      <c r="P330" s="239"/>
      <c r="Q330" s="239"/>
      <c r="R330" s="239"/>
      <c r="S330" s="239"/>
      <c r="T330" s="239"/>
    </row>
    <row r="331" spans="1:20" s="82" customFormat="1" ht="29.25" customHeight="1" x14ac:dyDescent="0.25">
      <c r="A331" s="24" t="s">
        <v>353</v>
      </c>
      <c r="B331" s="53">
        <v>905</v>
      </c>
      <c r="C331" s="48" t="s">
        <v>31</v>
      </c>
      <c r="D331" s="48" t="s">
        <v>26</v>
      </c>
      <c r="E331" s="48" t="s">
        <v>523</v>
      </c>
      <c r="F331" s="48"/>
      <c r="G331" s="119">
        <f>G332</f>
        <v>982.2</v>
      </c>
      <c r="H331" s="119">
        <f>H332</f>
        <v>1020.8</v>
      </c>
      <c r="I331" s="119">
        <f>I332</f>
        <v>1060.7</v>
      </c>
      <c r="J331" s="239"/>
      <c r="K331" s="239"/>
      <c r="L331" s="239"/>
      <c r="M331" s="239"/>
      <c r="N331" s="239"/>
      <c r="O331" s="239"/>
      <c r="P331" s="239"/>
      <c r="Q331" s="239"/>
      <c r="R331" s="239"/>
      <c r="S331" s="239"/>
      <c r="T331" s="239"/>
    </row>
    <row r="332" spans="1:20" s="82" customFormat="1" ht="25.5" x14ac:dyDescent="0.25">
      <c r="A332" s="24" t="s">
        <v>64</v>
      </c>
      <c r="B332" s="53">
        <v>905</v>
      </c>
      <c r="C332" s="48" t="s">
        <v>31</v>
      </c>
      <c r="D332" s="48" t="s">
        <v>26</v>
      </c>
      <c r="E332" s="48" t="s">
        <v>523</v>
      </c>
      <c r="F332" s="48" t="s">
        <v>65</v>
      </c>
      <c r="G332" s="119">
        <v>982.2</v>
      </c>
      <c r="H332" s="119">
        <v>1020.8</v>
      </c>
      <c r="I332" s="119">
        <v>1060.7</v>
      </c>
      <c r="J332" s="239"/>
      <c r="K332" s="239"/>
      <c r="L332" s="239"/>
      <c r="M332" s="239"/>
      <c r="N332" s="239"/>
      <c r="O332" s="239"/>
      <c r="P332" s="239"/>
      <c r="Q332" s="239"/>
      <c r="R332" s="239"/>
      <c r="S332" s="239"/>
      <c r="T332" s="239"/>
    </row>
    <row r="333" spans="1:20" s="82" customFormat="1" ht="29.25" customHeight="1" x14ac:dyDescent="0.25">
      <c r="A333" s="24" t="s">
        <v>356</v>
      </c>
      <c r="B333" s="53">
        <v>905</v>
      </c>
      <c r="C333" s="48" t="s">
        <v>31</v>
      </c>
      <c r="D333" s="48" t="s">
        <v>26</v>
      </c>
      <c r="E333" s="48" t="s">
        <v>524</v>
      </c>
      <c r="F333" s="48"/>
      <c r="G333" s="119">
        <f>G334</f>
        <v>2</v>
      </c>
      <c r="H333" s="119">
        <f>H334</f>
        <v>2</v>
      </c>
      <c r="I333" s="119">
        <f>I334</f>
        <v>2</v>
      </c>
      <c r="J333" s="239"/>
      <c r="K333" s="239"/>
      <c r="L333" s="239"/>
      <c r="M333" s="239"/>
      <c r="N333" s="239"/>
      <c r="O333" s="239"/>
      <c r="P333" s="239"/>
      <c r="Q333" s="239"/>
      <c r="R333" s="239"/>
      <c r="S333" s="239"/>
      <c r="T333" s="239"/>
    </row>
    <row r="334" spans="1:20" s="82" customFormat="1" ht="29.25" customHeight="1" x14ac:dyDescent="0.25">
      <c r="A334" s="24" t="s">
        <v>64</v>
      </c>
      <c r="B334" s="53">
        <v>905</v>
      </c>
      <c r="C334" s="48" t="s">
        <v>31</v>
      </c>
      <c r="D334" s="48" t="s">
        <v>26</v>
      </c>
      <c r="E334" s="48" t="s">
        <v>524</v>
      </c>
      <c r="F334" s="48" t="s">
        <v>65</v>
      </c>
      <c r="G334" s="119">
        <v>2</v>
      </c>
      <c r="H334" s="119">
        <v>2</v>
      </c>
      <c r="I334" s="119">
        <v>2</v>
      </c>
      <c r="J334" s="239"/>
      <c r="K334" s="239"/>
      <c r="L334" s="239"/>
      <c r="M334" s="239"/>
      <c r="N334" s="239"/>
      <c r="O334" s="239"/>
      <c r="P334" s="239"/>
      <c r="Q334" s="239"/>
      <c r="R334" s="239"/>
      <c r="S334" s="239"/>
      <c r="T334" s="239"/>
    </row>
    <row r="335" spans="1:20" s="82" customFormat="1" ht="29.25" customHeight="1" x14ac:dyDescent="0.25">
      <c r="A335" s="24" t="s">
        <v>698</v>
      </c>
      <c r="B335" s="53">
        <v>905</v>
      </c>
      <c r="C335" s="48" t="s">
        <v>31</v>
      </c>
      <c r="D335" s="48" t="s">
        <v>26</v>
      </c>
      <c r="E335" s="48" t="s">
        <v>881</v>
      </c>
      <c r="F335" s="48"/>
      <c r="G335" s="119">
        <f>G336</f>
        <v>614.29999999999995</v>
      </c>
      <c r="H335" s="119">
        <f t="shared" ref="H335:I335" si="112">H336</f>
        <v>614.29999999999995</v>
      </c>
      <c r="I335" s="119">
        <f t="shared" si="112"/>
        <v>614.29999999999995</v>
      </c>
      <c r="J335" s="239"/>
      <c r="K335" s="239"/>
      <c r="L335" s="239"/>
      <c r="M335" s="239"/>
      <c r="N335" s="239"/>
      <c r="O335" s="239"/>
      <c r="P335" s="239"/>
      <c r="Q335" s="239"/>
      <c r="R335" s="239"/>
      <c r="S335" s="239"/>
      <c r="T335" s="239"/>
    </row>
    <row r="336" spans="1:20" s="82" customFormat="1" ht="29.25" customHeight="1" x14ac:dyDescent="0.25">
      <c r="A336" s="24" t="s">
        <v>64</v>
      </c>
      <c r="B336" s="53">
        <v>905</v>
      </c>
      <c r="C336" s="48" t="s">
        <v>31</v>
      </c>
      <c r="D336" s="48" t="s">
        <v>26</v>
      </c>
      <c r="E336" s="48" t="s">
        <v>881</v>
      </c>
      <c r="F336" s="48" t="s">
        <v>65</v>
      </c>
      <c r="G336" s="119">
        <v>614.29999999999995</v>
      </c>
      <c r="H336" s="119">
        <v>614.29999999999995</v>
      </c>
      <c r="I336" s="119">
        <v>614.29999999999995</v>
      </c>
      <c r="J336" s="239"/>
      <c r="K336" s="239"/>
      <c r="L336" s="239"/>
      <c r="M336" s="239"/>
      <c r="N336" s="239"/>
      <c r="O336" s="239"/>
      <c r="P336" s="239"/>
      <c r="Q336" s="239"/>
      <c r="R336" s="239"/>
      <c r="S336" s="239"/>
      <c r="T336" s="239"/>
    </row>
    <row r="337" spans="1:20" s="82" customFormat="1" ht="29.25" customHeight="1" x14ac:dyDescent="0.25">
      <c r="A337" s="24" t="s">
        <v>357</v>
      </c>
      <c r="B337" s="53">
        <v>905</v>
      </c>
      <c r="C337" s="48" t="s">
        <v>31</v>
      </c>
      <c r="D337" s="48" t="s">
        <v>26</v>
      </c>
      <c r="E337" s="48" t="s">
        <v>525</v>
      </c>
      <c r="F337" s="48"/>
      <c r="G337" s="119">
        <f>G338</f>
        <v>3651.3</v>
      </c>
      <c r="H337" s="119">
        <f>H338</f>
        <v>3651.3</v>
      </c>
      <c r="I337" s="119">
        <f>I338</f>
        <v>3651.3</v>
      </c>
      <c r="J337" s="239"/>
      <c r="K337" s="239"/>
      <c r="L337" s="239"/>
      <c r="M337" s="239"/>
      <c r="N337" s="239"/>
      <c r="O337" s="239"/>
      <c r="P337" s="239"/>
      <c r="Q337" s="239"/>
      <c r="R337" s="239"/>
      <c r="S337" s="239"/>
      <c r="T337" s="239"/>
    </row>
    <row r="338" spans="1:20" s="82" customFormat="1" ht="29.25" customHeight="1" x14ac:dyDescent="0.25">
      <c r="A338" s="24" t="s">
        <v>64</v>
      </c>
      <c r="B338" s="53">
        <v>905</v>
      </c>
      <c r="C338" s="48" t="s">
        <v>31</v>
      </c>
      <c r="D338" s="48" t="s">
        <v>26</v>
      </c>
      <c r="E338" s="48" t="s">
        <v>525</v>
      </c>
      <c r="F338" s="48" t="s">
        <v>65</v>
      </c>
      <c r="G338" s="119">
        <v>3651.3</v>
      </c>
      <c r="H338" s="119">
        <v>3651.3</v>
      </c>
      <c r="I338" s="119">
        <v>3651.3</v>
      </c>
      <c r="J338" s="239"/>
      <c r="K338" s="239"/>
      <c r="L338" s="239"/>
      <c r="M338" s="239"/>
      <c r="N338" s="239"/>
      <c r="O338" s="239"/>
      <c r="P338" s="239"/>
      <c r="Q338" s="239"/>
      <c r="R338" s="239"/>
      <c r="S338" s="239"/>
      <c r="T338" s="239"/>
    </row>
    <row r="339" spans="1:20" s="87" customFormat="1" ht="25.5" x14ac:dyDescent="0.25">
      <c r="A339" s="24" t="s">
        <v>289</v>
      </c>
      <c r="B339" s="53">
        <v>905</v>
      </c>
      <c r="C339" s="48" t="s">
        <v>31</v>
      </c>
      <c r="D339" s="48" t="s">
        <v>26</v>
      </c>
      <c r="E339" s="48" t="s">
        <v>526</v>
      </c>
      <c r="F339" s="48"/>
      <c r="G339" s="119">
        <f>G340</f>
        <v>100</v>
      </c>
      <c r="H339" s="119">
        <f>H340</f>
        <v>100</v>
      </c>
      <c r="I339" s="119">
        <f>I340</f>
        <v>100</v>
      </c>
      <c r="J339" s="161"/>
      <c r="K339" s="161"/>
      <c r="L339" s="161"/>
      <c r="M339" s="161"/>
      <c r="N339" s="161"/>
      <c r="O339" s="161"/>
      <c r="P339" s="161"/>
      <c r="Q339" s="161"/>
      <c r="R339" s="161"/>
      <c r="S339" s="161"/>
      <c r="T339" s="161"/>
    </row>
    <row r="340" spans="1:20" s="87" customFormat="1" ht="30.75" customHeight="1" x14ac:dyDescent="0.25">
      <c r="A340" s="24" t="s">
        <v>64</v>
      </c>
      <c r="B340" s="53">
        <v>905</v>
      </c>
      <c r="C340" s="48" t="s">
        <v>31</v>
      </c>
      <c r="D340" s="48" t="s">
        <v>26</v>
      </c>
      <c r="E340" s="48" t="s">
        <v>526</v>
      </c>
      <c r="F340" s="48" t="s">
        <v>65</v>
      </c>
      <c r="G340" s="119">
        <v>100</v>
      </c>
      <c r="H340" s="119">
        <v>100</v>
      </c>
      <c r="I340" s="119">
        <v>100</v>
      </c>
      <c r="J340" s="161"/>
      <c r="K340" s="161"/>
      <c r="L340" s="161"/>
      <c r="M340" s="161"/>
      <c r="N340" s="161"/>
      <c r="O340" s="161"/>
      <c r="P340" s="161"/>
      <c r="Q340" s="161"/>
      <c r="R340" s="161"/>
      <c r="S340" s="161"/>
      <c r="T340" s="161"/>
    </row>
    <row r="341" spans="1:20" s="87" customFormat="1" ht="23.25" customHeight="1" x14ac:dyDescent="0.25">
      <c r="A341" s="23" t="s">
        <v>91</v>
      </c>
      <c r="B341" s="53">
        <v>905</v>
      </c>
      <c r="C341" s="48" t="s">
        <v>31</v>
      </c>
      <c r="D341" s="48" t="s">
        <v>26</v>
      </c>
      <c r="E341" s="48" t="s">
        <v>527</v>
      </c>
      <c r="F341" s="48"/>
      <c r="G341" s="119">
        <f>G342</f>
        <v>125</v>
      </c>
      <c r="H341" s="119">
        <f>H342</f>
        <v>125</v>
      </c>
      <c r="I341" s="119">
        <f>I342</f>
        <v>125</v>
      </c>
      <c r="J341" s="161"/>
      <c r="K341" s="161"/>
      <c r="L341" s="161"/>
      <c r="M341" s="161"/>
      <c r="N341" s="161"/>
      <c r="O341" s="161"/>
      <c r="P341" s="161"/>
      <c r="Q341" s="161"/>
      <c r="R341" s="161"/>
      <c r="S341" s="161"/>
      <c r="T341" s="161"/>
    </row>
    <row r="342" spans="1:20" s="87" customFormat="1" ht="25.5" x14ac:dyDescent="0.25">
      <c r="A342" s="24" t="s">
        <v>64</v>
      </c>
      <c r="B342" s="53">
        <v>905</v>
      </c>
      <c r="C342" s="48" t="s">
        <v>31</v>
      </c>
      <c r="D342" s="48" t="s">
        <v>26</v>
      </c>
      <c r="E342" s="48" t="s">
        <v>527</v>
      </c>
      <c r="F342" s="48" t="s">
        <v>65</v>
      </c>
      <c r="G342" s="119">
        <v>125</v>
      </c>
      <c r="H342" s="119">
        <v>125</v>
      </c>
      <c r="I342" s="119">
        <v>125</v>
      </c>
      <c r="J342" s="135"/>
      <c r="K342" s="135"/>
      <c r="L342" s="135"/>
      <c r="M342" s="161"/>
      <c r="N342" s="161"/>
      <c r="O342" s="161"/>
      <c r="P342" s="161"/>
      <c r="Q342" s="161"/>
      <c r="R342" s="161"/>
      <c r="S342" s="161"/>
      <c r="T342" s="161"/>
    </row>
    <row r="343" spans="1:20" s="87" customFormat="1" x14ac:dyDescent="0.25">
      <c r="A343" s="24" t="s">
        <v>911</v>
      </c>
      <c r="B343" s="53">
        <v>905</v>
      </c>
      <c r="C343" s="48" t="s">
        <v>31</v>
      </c>
      <c r="D343" s="48" t="s">
        <v>26</v>
      </c>
      <c r="E343" s="48" t="s">
        <v>910</v>
      </c>
      <c r="F343" s="48"/>
      <c r="G343" s="119">
        <f>G344</f>
        <v>411.3</v>
      </c>
      <c r="H343" s="119">
        <f t="shared" ref="H343:I343" si="113">H344</f>
        <v>403.5</v>
      </c>
      <c r="I343" s="119">
        <f t="shared" si="113"/>
        <v>397</v>
      </c>
      <c r="J343" s="135"/>
      <c r="K343" s="135"/>
      <c r="L343" s="135"/>
      <c r="M343" s="161"/>
      <c r="N343" s="161"/>
      <c r="O343" s="161"/>
      <c r="P343" s="161"/>
      <c r="Q343" s="161"/>
      <c r="R343" s="161"/>
      <c r="S343" s="161"/>
      <c r="T343" s="161"/>
    </row>
    <row r="344" spans="1:20" s="87" customFormat="1" ht="38.25" x14ac:dyDescent="0.25">
      <c r="A344" s="24" t="s">
        <v>729</v>
      </c>
      <c r="B344" s="53">
        <v>905</v>
      </c>
      <c r="C344" s="48" t="s">
        <v>31</v>
      </c>
      <c r="D344" s="48" t="s">
        <v>26</v>
      </c>
      <c r="E344" s="48" t="s">
        <v>728</v>
      </c>
      <c r="F344" s="48"/>
      <c r="G344" s="119">
        <f>G345</f>
        <v>411.3</v>
      </c>
      <c r="H344" s="119">
        <f t="shared" ref="H344:I344" si="114">H345</f>
        <v>403.5</v>
      </c>
      <c r="I344" s="119">
        <f t="shared" si="114"/>
        <v>397</v>
      </c>
      <c r="J344" s="160"/>
      <c r="K344" s="161"/>
      <c r="L344" s="161"/>
      <c r="M344" s="161"/>
      <c r="N344" s="161"/>
      <c r="O344" s="161"/>
      <c r="P344" s="161"/>
      <c r="Q344" s="161"/>
      <c r="R344" s="161"/>
      <c r="S344" s="161"/>
      <c r="T344" s="161"/>
    </row>
    <row r="345" spans="1:20" s="87" customFormat="1" ht="25.5" x14ac:dyDescent="0.25">
      <c r="A345" s="24" t="s">
        <v>64</v>
      </c>
      <c r="B345" s="53">
        <v>905</v>
      </c>
      <c r="C345" s="48" t="s">
        <v>31</v>
      </c>
      <c r="D345" s="48" t="s">
        <v>26</v>
      </c>
      <c r="E345" s="48" t="s">
        <v>728</v>
      </c>
      <c r="F345" s="48" t="s">
        <v>65</v>
      </c>
      <c r="G345" s="119">
        <f>381.8+29.5</f>
        <v>411.3</v>
      </c>
      <c r="H345" s="119">
        <f>392.3+11.2</f>
        <v>403.5</v>
      </c>
      <c r="I345" s="119">
        <f>357.3+39.7</f>
        <v>397</v>
      </c>
      <c r="J345" s="238"/>
      <c r="K345" s="238"/>
      <c r="L345" s="237"/>
      <c r="M345" s="161"/>
      <c r="N345" s="161"/>
      <c r="O345" s="161"/>
      <c r="P345" s="161"/>
      <c r="Q345" s="161"/>
      <c r="R345" s="161"/>
      <c r="S345" s="161"/>
      <c r="T345" s="161"/>
    </row>
    <row r="346" spans="1:20" s="82" customFormat="1" ht="30" customHeight="1" x14ac:dyDescent="0.25">
      <c r="A346" s="24" t="s">
        <v>788</v>
      </c>
      <c r="B346" s="53">
        <v>905</v>
      </c>
      <c r="C346" s="48" t="s">
        <v>31</v>
      </c>
      <c r="D346" s="48" t="s">
        <v>26</v>
      </c>
      <c r="E346" s="48" t="s">
        <v>528</v>
      </c>
      <c r="F346" s="48"/>
      <c r="G346" s="119">
        <f>G347+G358+G360+G362</f>
        <v>170581.30000000002</v>
      </c>
      <c r="H346" s="119">
        <f t="shared" ref="H346:I346" si="115">H347+H358+H360+H362</f>
        <v>178919.9</v>
      </c>
      <c r="I346" s="119">
        <f t="shared" si="115"/>
        <v>190892.80000000002</v>
      </c>
      <c r="J346" s="239"/>
      <c r="K346" s="239"/>
      <c r="L346" s="239"/>
      <c r="M346" s="239"/>
      <c r="N346" s="239"/>
      <c r="O346" s="239"/>
      <c r="P346" s="239"/>
      <c r="Q346" s="239"/>
      <c r="R346" s="239"/>
      <c r="S346" s="239"/>
      <c r="T346" s="239"/>
    </row>
    <row r="347" spans="1:20" s="82" customFormat="1" ht="29.25" customHeight="1" x14ac:dyDescent="0.25">
      <c r="A347" s="24" t="s">
        <v>242</v>
      </c>
      <c r="B347" s="53">
        <v>905</v>
      </c>
      <c r="C347" s="48" t="s">
        <v>31</v>
      </c>
      <c r="D347" s="48" t="s">
        <v>26</v>
      </c>
      <c r="E347" s="48" t="s">
        <v>529</v>
      </c>
      <c r="F347" s="48"/>
      <c r="G347" s="119">
        <f>G348+G350+G352+G356+G354</f>
        <v>168169.00000000003</v>
      </c>
      <c r="H347" s="119">
        <f t="shared" ref="H347:I347" si="116">H348+H350+H352+H356+H354</f>
        <v>177379.9</v>
      </c>
      <c r="I347" s="119">
        <f t="shared" si="116"/>
        <v>189378.6</v>
      </c>
      <c r="J347" s="239"/>
      <c r="K347" s="239"/>
      <c r="L347" s="239"/>
      <c r="M347" s="239"/>
      <c r="N347" s="239"/>
      <c r="O347" s="239"/>
      <c r="P347" s="239"/>
      <c r="Q347" s="239"/>
      <c r="R347" s="239"/>
      <c r="S347" s="239"/>
      <c r="T347" s="239"/>
    </row>
    <row r="348" spans="1:20" s="82" customFormat="1" ht="38.25" x14ac:dyDescent="0.25">
      <c r="A348" s="24" t="s">
        <v>354</v>
      </c>
      <c r="B348" s="53">
        <v>905</v>
      </c>
      <c r="C348" s="48" t="s">
        <v>31</v>
      </c>
      <c r="D348" s="48" t="s">
        <v>26</v>
      </c>
      <c r="E348" s="48" t="s">
        <v>530</v>
      </c>
      <c r="F348" s="48"/>
      <c r="G348" s="119">
        <f>G349</f>
        <v>150378.80000000002</v>
      </c>
      <c r="H348" s="119">
        <f>H349</f>
        <v>164079.19999999998</v>
      </c>
      <c r="I348" s="119">
        <f>I349</f>
        <v>174052</v>
      </c>
      <c r="J348" s="239"/>
      <c r="K348" s="239"/>
      <c r="L348" s="239"/>
      <c r="M348" s="239"/>
      <c r="N348" s="239"/>
      <c r="O348" s="239"/>
      <c r="P348" s="239"/>
      <c r="Q348" s="239"/>
      <c r="R348" s="239"/>
      <c r="S348" s="239"/>
      <c r="T348" s="239"/>
    </row>
    <row r="349" spans="1:20" s="82" customFormat="1" ht="25.5" x14ac:dyDescent="0.25">
      <c r="A349" s="24" t="s">
        <v>64</v>
      </c>
      <c r="B349" s="53">
        <v>905</v>
      </c>
      <c r="C349" s="48" t="s">
        <v>31</v>
      </c>
      <c r="D349" s="48" t="s">
        <v>26</v>
      </c>
      <c r="E349" s="48" t="s">
        <v>530</v>
      </c>
      <c r="F349" s="48" t="s">
        <v>65</v>
      </c>
      <c r="G349" s="119">
        <f>150430.7-51.9</f>
        <v>150378.80000000002</v>
      </c>
      <c r="H349" s="119">
        <f>164115.4-36.2</f>
        <v>164079.19999999998</v>
      </c>
      <c r="I349" s="119">
        <f>174126.5-74.5</f>
        <v>174052</v>
      </c>
      <c r="J349" s="184"/>
      <c r="K349" s="184"/>
      <c r="L349" s="184"/>
      <c r="M349" s="239"/>
      <c r="N349" s="239"/>
      <c r="O349" s="239"/>
      <c r="P349" s="239"/>
      <c r="Q349" s="239"/>
      <c r="R349" s="239"/>
      <c r="S349" s="239"/>
      <c r="T349" s="239"/>
    </row>
    <row r="350" spans="1:20" s="82" customFormat="1" ht="25.5" x14ac:dyDescent="0.25">
      <c r="A350" s="24" t="s">
        <v>353</v>
      </c>
      <c r="B350" s="53">
        <v>905</v>
      </c>
      <c r="C350" s="48" t="s">
        <v>31</v>
      </c>
      <c r="D350" s="48" t="s">
        <v>26</v>
      </c>
      <c r="E350" s="48" t="s">
        <v>531</v>
      </c>
      <c r="F350" s="48"/>
      <c r="G350" s="119">
        <f>G351</f>
        <v>5141.3999999999996</v>
      </c>
      <c r="H350" s="119">
        <f>H351</f>
        <v>4048</v>
      </c>
      <c r="I350" s="119">
        <f>I351</f>
        <v>4211.5</v>
      </c>
      <c r="J350" s="239"/>
      <c r="K350" s="239"/>
      <c r="L350" s="239"/>
      <c r="M350" s="239"/>
      <c r="N350" s="239"/>
      <c r="O350" s="239"/>
      <c r="P350" s="239"/>
      <c r="Q350" s="239"/>
      <c r="R350" s="239"/>
      <c r="S350" s="239"/>
      <c r="T350" s="239"/>
    </row>
    <row r="351" spans="1:20" s="82" customFormat="1" ht="25.5" x14ac:dyDescent="0.25">
      <c r="A351" s="24" t="s">
        <v>64</v>
      </c>
      <c r="B351" s="53">
        <v>905</v>
      </c>
      <c r="C351" s="48" t="s">
        <v>31</v>
      </c>
      <c r="D351" s="48" t="s">
        <v>26</v>
      </c>
      <c r="E351" s="48" t="s">
        <v>531</v>
      </c>
      <c r="F351" s="48" t="s">
        <v>65</v>
      </c>
      <c r="G351" s="119">
        <f>3890.9+1250.5</f>
        <v>5141.3999999999996</v>
      </c>
      <c r="H351" s="119">
        <v>4048</v>
      </c>
      <c r="I351" s="119">
        <v>4211.5</v>
      </c>
      <c r="J351" s="184"/>
      <c r="K351" s="184"/>
      <c r="L351" s="239"/>
      <c r="M351" s="239"/>
      <c r="N351" s="239"/>
      <c r="O351" s="239"/>
      <c r="P351" s="239"/>
      <c r="Q351" s="239"/>
      <c r="R351" s="239"/>
      <c r="S351" s="239"/>
      <c r="T351" s="239"/>
    </row>
    <row r="352" spans="1:20" s="82" customFormat="1" ht="29.25" customHeight="1" x14ac:dyDescent="0.25">
      <c r="A352" s="24" t="s">
        <v>356</v>
      </c>
      <c r="B352" s="53">
        <v>905</v>
      </c>
      <c r="C352" s="48" t="s">
        <v>31</v>
      </c>
      <c r="D352" s="48" t="s">
        <v>26</v>
      </c>
      <c r="E352" s="48" t="s">
        <v>532</v>
      </c>
      <c r="F352" s="48"/>
      <c r="G352" s="119">
        <f>G353</f>
        <v>50.7</v>
      </c>
      <c r="H352" s="119">
        <f>H353</f>
        <v>50.7</v>
      </c>
      <c r="I352" s="119">
        <f>I353</f>
        <v>50.7</v>
      </c>
      <c r="J352" s="239"/>
      <c r="K352" s="239"/>
      <c r="L352" s="239"/>
      <c r="M352" s="239"/>
      <c r="N352" s="239"/>
      <c r="O352" s="239"/>
      <c r="P352" s="239"/>
      <c r="Q352" s="239"/>
      <c r="R352" s="239"/>
      <c r="S352" s="239"/>
      <c r="T352" s="239"/>
    </row>
    <row r="353" spans="1:20" s="82" customFormat="1" ht="25.5" x14ac:dyDescent="0.25">
      <c r="A353" s="24" t="s">
        <v>64</v>
      </c>
      <c r="B353" s="53">
        <v>905</v>
      </c>
      <c r="C353" s="48" t="s">
        <v>31</v>
      </c>
      <c r="D353" s="48" t="s">
        <v>26</v>
      </c>
      <c r="E353" s="48" t="s">
        <v>532</v>
      </c>
      <c r="F353" s="48" t="s">
        <v>65</v>
      </c>
      <c r="G353" s="119">
        <v>50.7</v>
      </c>
      <c r="H353" s="119">
        <v>50.7</v>
      </c>
      <c r="I353" s="119">
        <v>50.7</v>
      </c>
      <c r="J353" s="239"/>
      <c r="K353" s="239"/>
      <c r="L353" s="239"/>
      <c r="M353" s="239"/>
      <c r="N353" s="239"/>
      <c r="O353" s="239"/>
      <c r="P353" s="239"/>
      <c r="Q353" s="239"/>
      <c r="R353" s="239"/>
      <c r="S353" s="239"/>
      <c r="T353" s="239"/>
    </row>
    <row r="354" spans="1:20" s="82" customFormat="1" ht="25.5" x14ac:dyDescent="0.25">
      <c r="A354" s="24" t="s">
        <v>698</v>
      </c>
      <c r="B354" s="53">
        <v>905</v>
      </c>
      <c r="C354" s="48" t="s">
        <v>31</v>
      </c>
      <c r="D354" s="48" t="s">
        <v>26</v>
      </c>
      <c r="E354" s="48" t="s">
        <v>882</v>
      </c>
      <c r="F354" s="48"/>
      <c r="G354" s="119">
        <f>G355</f>
        <v>6541.4</v>
      </c>
      <c r="H354" s="119">
        <f t="shared" ref="H354:I354" si="117">H355</f>
        <v>4431.8999999999996</v>
      </c>
      <c r="I354" s="119">
        <f t="shared" si="117"/>
        <v>4431.8999999999996</v>
      </c>
      <c r="J354" s="239"/>
      <c r="K354" s="239"/>
      <c r="L354" s="239"/>
      <c r="M354" s="239"/>
      <c r="N354" s="239"/>
      <c r="O354" s="239"/>
      <c r="P354" s="239"/>
      <c r="Q354" s="239"/>
      <c r="R354" s="239"/>
      <c r="S354" s="239"/>
      <c r="T354" s="239"/>
    </row>
    <row r="355" spans="1:20" s="82" customFormat="1" ht="25.5" x14ac:dyDescent="0.25">
      <c r="A355" s="24" t="s">
        <v>64</v>
      </c>
      <c r="B355" s="53">
        <v>905</v>
      </c>
      <c r="C355" s="48" t="s">
        <v>31</v>
      </c>
      <c r="D355" s="48" t="s">
        <v>26</v>
      </c>
      <c r="E355" s="48" t="s">
        <v>882</v>
      </c>
      <c r="F355" s="48" t="s">
        <v>65</v>
      </c>
      <c r="G355" s="119">
        <f>4431.9+2109.5</f>
        <v>6541.4</v>
      </c>
      <c r="H355" s="119">
        <v>4431.8999999999996</v>
      </c>
      <c r="I355" s="119">
        <v>4431.8999999999996</v>
      </c>
      <c r="J355" s="184"/>
      <c r="K355" s="239"/>
      <c r="L355" s="239"/>
      <c r="M355" s="239"/>
      <c r="N355" s="239"/>
      <c r="O355" s="239"/>
      <c r="P355" s="239"/>
      <c r="Q355" s="239"/>
      <c r="R355" s="239"/>
      <c r="S355" s="239"/>
      <c r="T355" s="239"/>
    </row>
    <row r="356" spans="1:20" s="82" customFormat="1" ht="25.5" x14ac:dyDescent="0.25">
      <c r="A356" s="24" t="s">
        <v>357</v>
      </c>
      <c r="B356" s="53">
        <v>905</v>
      </c>
      <c r="C356" s="48" t="s">
        <v>31</v>
      </c>
      <c r="D356" s="48" t="s">
        <v>26</v>
      </c>
      <c r="E356" s="48" t="s">
        <v>533</v>
      </c>
      <c r="F356" s="48"/>
      <c r="G356" s="119">
        <f>G357</f>
        <v>6056.7000000000007</v>
      </c>
      <c r="H356" s="119">
        <f>H357</f>
        <v>4770.1000000000004</v>
      </c>
      <c r="I356" s="119">
        <f>I357</f>
        <v>6632.5</v>
      </c>
      <c r="J356" s="184"/>
      <c r="K356" s="239"/>
      <c r="L356" s="239"/>
      <c r="M356" s="239"/>
      <c r="N356" s="239"/>
      <c r="O356" s="239"/>
      <c r="P356" s="239"/>
      <c r="Q356" s="239"/>
      <c r="R356" s="239"/>
      <c r="S356" s="239"/>
      <c r="T356" s="239"/>
    </row>
    <row r="357" spans="1:20" s="82" customFormat="1" ht="29.25" customHeight="1" x14ac:dyDescent="0.25">
      <c r="A357" s="24" t="s">
        <v>64</v>
      </c>
      <c r="B357" s="53">
        <v>905</v>
      </c>
      <c r="C357" s="48" t="s">
        <v>31</v>
      </c>
      <c r="D357" s="48" t="s">
        <v>26</v>
      </c>
      <c r="E357" s="48" t="s">
        <v>533</v>
      </c>
      <c r="F357" s="48" t="s">
        <v>65</v>
      </c>
      <c r="G357" s="119">
        <f>4795.6+766.8-5.7+460+40</f>
        <v>6056.7000000000007</v>
      </c>
      <c r="H357" s="119">
        <v>4770.1000000000004</v>
      </c>
      <c r="I357" s="119">
        <v>6632.5</v>
      </c>
      <c r="J357" s="184"/>
      <c r="K357" s="184"/>
      <c r="L357" s="239"/>
      <c r="M357" s="239"/>
      <c r="N357" s="239"/>
      <c r="O357" s="239"/>
      <c r="P357" s="239"/>
      <c r="Q357" s="239"/>
      <c r="R357" s="239"/>
      <c r="S357" s="239"/>
      <c r="T357" s="239"/>
    </row>
    <row r="358" spans="1:20" s="82" customFormat="1" ht="25.5" x14ac:dyDescent="0.25">
      <c r="A358" s="24" t="s">
        <v>289</v>
      </c>
      <c r="B358" s="53">
        <v>905</v>
      </c>
      <c r="C358" s="48" t="s">
        <v>31</v>
      </c>
      <c r="D358" s="48" t="s">
        <v>26</v>
      </c>
      <c r="E358" s="48" t="s">
        <v>534</v>
      </c>
      <c r="F358" s="48"/>
      <c r="G358" s="119">
        <f>G359</f>
        <v>1671.1</v>
      </c>
      <c r="H358" s="119">
        <f>H359</f>
        <v>770</v>
      </c>
      <c r="I358" s="119">
        <f>I359</f>
        <v>770</v>
      </c>
      <c r="J358" s="239"/>
      <c r="K358" s="239"/>
      <c r="L358" s="239"/>
      <c r="M358" s="239"/>
      <c r="N358" s="239"/>
      <c r="O358" s="239"/>
      <c r="P358" s="239"/>
      <c r="Q358" s="239"/>
      <c r="R358" s="239"/>
      <c r="S358" s="239"/>
      <c r="T358" s="239"/>
    </row>
    <row r="359" spans="1:20" s="82" customFormat="1" ht="25.5" x14ac:dyDescent="0.25">
      <c r="A359" s="24" t="s">
        <v>64</v>
      </c>
      <c r="B359" s="53">
        <v>905</v>
      </c>
      <c r="C359" s="48" t="s">
        <v>31</v>
      </c>
      <c r="D359" s="48" t="s">
        <v>26</v>
      </c>
      <c r="E359" s="48" t="s">
        <v>534</v>
      </c>
      <c r="F359" s="48" t="s">
        <v>65</v>
      </c>
      <c r="G359" s="119">
        <f>770+901.1</f>
        <v>1671.1</v>
      </c>
      <c r="H359" s="119">
        <v>770</v>
      </c>
      <c r="I359" s="119">
        <v>770</v>
      </c>
      <c r="J359" s="239"/>
      <c r="K359" s="239"/>
      <c r="L359" s="239"/>
      <c r="M359" s="239"/>
      <c r="N359" s="239"/>
      <c r="O359" s="239"/>
      <c r="P359" s="239"/>
      <c r="Q359" s="239"/>
      <c r="R359" s="239"/>
      <c r="S359" s="239"/>
      <c r="T359" s="239"/>
    </row>
    <row r="360" spans="1:20" s="82" customFormat="1" ht="25.5" x14ac:dyDescent="0.25">
      <c r="A360" s="24" t="s">
        <v>606</v>
      </c>
      <c r="B360" s="53">
        <v>905</v>
      </c>
      <c r="C360" s="48" t="s">
        <v>31</v>
      </c>
      <c r="D360" s="48" t="s">
        <v>26</v>
      </c>
      <c r="E360" s="48" t="s">
        <v>605</v>
      </c>
      <c r="F360" s="48"/>
      <c r="G360" s="119">
        <f>G361</f>
        <v>684.9</v>
      </c>
      <c r="H360" s="119">
        <f t="shared" ref="H360:I360" si="118">H361</f>
        <v>770</v>
      </c>
      <c r="I360" s="119">
        <f t="shared" si="118"/>
        <v>744.2</v>
      </c>
      <c r="J360" s="159"/>
      <c r="K360" s="162"/>
      <c r="L360" s="162"/>
      <c r="M360" s="239"/>
      <c r="N360" s="239"/>
      <c r="O360" s="239"/>
      <c r="P360" s="239"/>
      <c r="Q360" s="239"/>
      <c r="R360" s="239"/>
      <c r="S360" s="239"/>
      <c r="T360" s="239"/>
    </row>
    <row r="361" spans="1:20" s="82" customFormat="1" ht="25.5" x14ac:dyDescent="0.25">
      <c r="A361" s="24" t="s">
        <v>64</v>
      </c>
      <c r="B361" s="53">
        <v>905</v>
      </c>
      <c r="C361" s="48" t="s">
        <v>31</v>
      </c>
      <c r="D361" s="48" t="s">
        <v>26</v>
      </c>
      <c r="E361" s="48" t="s">
        <v>605</v>
      </c>
      <c r="F361" s="48" t="s">
        <v>65</v>
      </c>
      <c r="G361" s="119">
        <f>633+51.9</f>
        <v>684.9</v>
      </c>
      <c r="H361" s="119">
        <f>733.8+36.2</f>
        <v>770</v>
      </c>
      <c r="I361" s="119">
        <f>669.7+74.5</f>
        <v>744.2</v>
      </c>
      <c r="J361" s="238"/>
      <c r="K361" s="184"/>
      <c r="L361" s="184"/>
      <c r="M361" s="239"/>
      <c r="N361" s="239"/>
      <c r="O361" s="239"/>
      <c r="P361" s="239"/>
      <c r="Q361" s="239"/>
      <c r="R361" s="239"/>
      <c r="S361" s="239"/>
      <c r="T361" s="239"/>
    </row>
    <row r="362" spans="1:20" s="82" customFormat="1" x14ac:dyDescent="0.25">
      <c r="A362" s="24" t="s">
        <v>1004</v>
      </c>
      <c r="B362" s="53">
        <v>905</v>
      </c>
      <c r="C362" s="48" t="s">
        <v>31</v>
      </c>
      <c r="D362" s="48" t="s">
        <v>26</v>
      </c>
      <c r="E362" s="48" t="s">
        <v>1003</v>
      </c>
      <c r="F362" s="48"/>
      <c r="G362" s="119">
        <f>G363</f>
        <v>56.3</v>
      </c>
      <c r="H362" s="119">
        <f t="shared" ref="H362:I363" si="119">H363</f>
        <v>0</v>
      </c>
      <c r="I362" s="119">
        <f t="shared" si="119"/>
        <v>0</v>
      </c>
      <c r="J362" s="135"/>
      <c r="K362" s="184"/>
      <c r="L362" s="184"/>
      <c r="M362" s="239"/>
      <c r="N362" s="239"/>
      <c r="O362" s="239"/>
      <c r="P362" s="239"/>
      <c r="Q362" s="239"/>
      <c r="R362" s="239"/>
      <c r="S362" s="239"/>
      <c r="T362" s="239"/>
    </row>
    <row r="363" spans="1:20" s="82" customFormat="1" ht="25.5" x14ac:dyDescent="0.25">
      <c r="A363" s="24" t="s">
        <v>916</v>
      </c>
      <c r="B363" s="53">
        <v>905</v>
      </c>
      <c r="C363" s="48" t="s">
        <v>31</v>
      </c>
      <c r="D363" s="48" t="s">
        <v>26</v>
      </c>
      <c r="E363" s="48" t="s">
        <v>1005</v>
      </c>
      <c r="F363" s="48"/>
      <c r="G363" s="119">
        <f>G364</f>
        <v>56.3</v>
      </c>
      <c r="H363" s="119">
        <f t="shared" si="119"/>
        <v>0</v>
      </c>
      <c r="I363" s="119">
        <f t="shared" si="119"/>
        <v>0</v>
      </c>
      <c r="J363" s="135"/>
      <c r="K363" s="184"/>
      <c r="L363" s="184"/>
      <c r="M363" s="239"/>
      <c r="N363" s="239"/>
      <c r="O363" s="239"/>
      <c r="P363" s="239"/>
      <c r="Q363" s="239"/>
      <c r="R363" s="239"/>
      <c r="S363" s="239"/>
      <c r="T363" s="239"/>
    </row>
    <row r="364" spans="1:20" s="82" customFormat="1" ht="25.5" x14ac:dyDescent="0.25">
      <c r="A364" s="24" t="s">
        <v>64</v>
      </c>
      <c r="B364" s="53">
        <v>905</v>
      </c>
      <c r="C364" s="48" t="s">
        <v>31</v>
      </c>
      <c r="D364" s="48" t="s">
        <v>26</v>
      </c>
      <c r="E364" s="48" t="s">
        <v>1005</v>
      </c>
      <c r="F364" s="48" t="s">
        <v>65</v>
      </c>
      <c r="G364" s="119">
        <v>56.3</v>
      </c>
      <c r="H364" s="119">
        <v>0</v>
      </c>
      <c r="I364" s="119">
        <v>0</v>
      </c>
      <c r="J364" s="238"/>
      <c r="K364" s="184"/>
      <c r="L364" s="184"/>
      <c r="M364" s="239"/>
      <c r="N364" s="239"/>
      <c r="O364" s="239"/>
      <c r="P364" s="239"/>
      <c r="Q364" s="239"/>
      <c r="R364" s="239"/>
      <c r="S364" s="239"/>
      <c r="T364" s="239"/>
    </row>
    <row r="365" spans="1:20" s="82" customFormat="1" ht="38.25" x14ac:dyDescent="0.25">
      <c r="A365" s="24" t="s">
        <v>789</v>
      </c>
      <c r="B365" s="53">
        <v>905</v>
      </c>
      <c r="C365" s="48" t="s">
        <v>31</v>
      </c>
      <c r="D365" s="48" t="s">
        <v>26</v>
      </c>
      <c r="E365" s="48" t="s">
        <v>536</v>
      </c>
      <c r="F365" s="48"/>
      <c r="G365" s="119">
        <f>G366+G369</f>
        <v>3640</v>
      </c>
      <c r="H365" s="119">
        <f t="shared" ref="H365:I365" si="120">H366+H369</f>
        <v>7600</v>
      </c>
      <c r="I365" s="119">
        <f t="shared" si="120"/>
        <v>7600</v>
      </c>
      <c r="J365" s="239"/>
      <c r="K365" s="239"/>
      <c r="L365" s="239"/>
      <c r="M365" s="239"/>
      <c r="N365" s="239"/>
      <c r="O365" s="239"/>
      <c r="P365" s="239"/>
      <c r="Q365" s="239"/>
      <c r="R365" s="239"/>
      <c r="S365" s="239"/>
      <c r="T365" s="239"/>
    </row>
    <row r="366" spans="1:20" s="82" customFormat="1" ht="25.5" x14ac:dyDescent="0.25">
      <c r="A366" s="23" t="s">
        <v>92</v>
      </c>
      <c r="B366" s="53">
        <v>905</v>
      </c>
      <c r="C366" s="48" t="s">
        <v>31</v>
      </c>
      <c r="D366" s="48" t="s">
        <v>26</v>
      </c>
      <c r="E366" s="48" t="s">
        <v>537</v>
      </c>
      <c r="F366" s="48"/>
      <c r="G366" s="119">
        <f>G367+G368</f>
        <v>3640</v>
      </c>
      <c r="H366" s="119">
        <f t="shared" ref="H366:I366" si="121">H367+H368</f>
        <v>4100</v>
      </c>
      <c r="I366" s="119">
        <f t="shared" si="121"/>
        <v>4100</v>
      </c>
      <c r="J366" s="239"/>
      <c r="K366" s="239"/>
      <c r="L366" s="239"/>
      <c r="M366" s="239"/>
      <c r="N366" s="239"/>
      <c r="O366" s="239"/>
      <c r="P366" s="239"/>
      <c r="Q366" s="239"/>
      <c r="R366" s="239"/>
      <c r="S366" s="239"/>
      <c r="T366" s="239"/>
    </row>
    <row r="367" spans="1:20" s="82" customFormat="1" ht="25.5" x14ac:dyDescent="0.25">
      <c r="A367" s="24" t="s">
        <v>226</v>
      </c>
      <c r="B367" s="53">
        <v>905</v>
      </c>
      <c r="C367" s="48" t="s">
        <v>31</v>
      </c>
      <c r="D367" s="48" t="s">
        <v>26</v>
      </c>
      <c r="E367" s="48" t="s">
        <v>537</v>
      </c>
      <c r="F367" s="48" t="s">
        <v>59</v>
      </c>
      <c r="G367" s="119">
        <f>4100-575</f>
        <v>3525</v>
      </c>
      <c r="H367" s="119">
        <v>4100</v>
      </c>
      <c r="I367" s="119">
        <v>4100</v>
      </c>
      <c r="J367" s="133"/>
      <c r="K367" s="239"/>
      <c r="L367" s="239"/>
      <c r="M367" s="239"/>
      <c r="N367" s="239"/>
      <c r="O367" s="239"/>
      <c r="P367" s="239"/>
      <c r="Q367" s="239"/>
      <c r="R367" s="239"/>
      <c r="S367" s="239"/>
      <c r="T367" s="239"/>
    </row>
    <row r="368" spans="1:20" s="82" customFormat="1" x14ac:dyDescent="0.25">
      <c r="A368" s="28" t="s">
        <v>85</v>
      </c>
      <c r="B368" s="53">
        <v>905</v>
      </c>
      <c r="C368" s="48" t="s">
        <v>31</v>
      </c>
      <c r="D368" s="48" t="s">
        <v>26</v>
      </c>
      <c r="E368" s="48" t="s">
        <v>537</v>
      </c>
      <c r="F368" s="48" t="s">
        <v>86</v>
      </c>
      <c r="G368" s="119">
        <v>115</v>
      </c>
      <c r="H368" s="119">
        <v>0</v>
      </c>
      <c r="I368" s="119">
        <v>0</v>
      </c>
      <c r="J368" s="133"/>
      <c r="K368" s="239"/>
      <c r="L368" s="239"/>
      <c r="M368" s="239"/>
      <c r="N368" s="239"/>
      <c r="O368" s="239"/>
      <c r="P368" s="239"/>
      <c r="Q368" s="239"/>
      <c r="R368" s="239"/>
      <c r="S368" s="239"/>
      <c r="T368" s="239"/>
    </row>
    <row r="369" spans="1:20" s="82" customFormat="1" x14ac:dyDescent="0.25">
      <c r="A369" s="24" t="s">
        <v>654</v>
      </c>
      <c r="B369" s="53">
        <v>905</v>
      </c>
      <c r="C369" s="48" t="s">
        <v>31</v>
      </c>
      <c r="D369" s="48" t="s">
        <v>26</v>
      </c>
      <c r="E369" s="48" t="s">
        <v>660</v>
      </c>
      <c r="F369" s="48"/>
      <c r="G369" s="119">
        <f>G370</f>
        <v>0</v>
      </c>
      <c r="H369" s="119">
        <f t="shared" ref="H369:I369" si="122">H370</f>
        <v>3500</v>
      </c>
      <c r="I369" s="119">
        <f t="shared" si="122"/>
        <v>3500</v>
      </c>
      <c r="J369" s="144"/>
      <c r="K369" s="239"/>
      <c r="L369" s="239"/>
      <c r="M369" s="239"/>
      <c r="N369" s="239"/>
      <c r="O369" s="239"/>
      <c r="P369" s="239"/>
      <c r="Q369" s="239"/>
      <c r="R369" s="239"/>
      <c r="S369" s="239"/>
      <c r="T369" s="239"/>
    </row>
    <row r="370" spans="1:20" s="82" customFormat="1" ht="25.5" x14ac:dyDescent="0.25">
      <c r="A370" s="24" t="s">
        <v>226</v>
      </c>
      <c r="B370" s="53">
        <v>905</v>
      </c>
      <c r="C370" s="48" t="s">
        <v>31</v>
      </c>
      <c r="D370" s="48" t="s">
        <v>26</v>
      </c>
      <c r="E370" s="48" t="s">
        <v>660</v>
      </c>
      <c r="F370" s="48" t="s">
        <v>59</v>
      </c>
      <c r="G370" s="119">
        <f>3500-3500</f>
        <v>0</v>
      </c>
      <c r="H370" s="119">
        <v>3500</v>
      </c>
      <c r="I370" s="119">
        <v>3500</v>
      </c>
      <c r="J370" s="144"/>
      <c r="K370" s="239"/>
      <c r="L370" s="239"/>
      <c r="M370" s="239"/>
      <c r="N370" s="239"/>
      <c r="O370" s="239"/>
      <c r="P370" s="239"/>
      <c r="Q370" s="239"/>
      <c r="R370" s="239"/>
      <c r="S370" s="239"/>
      <c r="T370" s="239"/>
    </row>
    <row r="371" spans="1:20" s="82" customFormat="1" ht="25.5" x14ac:dyDescent="0.25">
      <c r="A371" s="24" t="s">
        <v>963</v>
      </c>
      <c r="B371" s="53">
        <v>905</v>
      </c>
      <c r="C371" s="48" t="s">
        <v>31</v>
      </c>
      <c r="D371" s="48" t="s">
        <v>26</v>
      </c>
      <c r="E371" s="48" t="s">
        <v>964</v>
      </c>
      <c r="F371" s="48"/>
      <c r="G371" s="119">
        <f>G372</f>
        <v>3063.6</v>
      </c>
      <c r="H371" s="119">
        <f t="shared" ref="H371:I372" si="123">H372</f>
        <v>0</v>
      </c>
      <c r="I371" s="119">
        <f t="shared" si="123"/>
        <v>0</v>
      </c>
      <c r="J371" s="144"/>
      <c r="K371" s="239"/>
      <c r="L371" s="239"/>
      <c r="M371" s="239"/>
      <c r="N371" s="239"/>
      <c r="O371" s="239"/>
      <c r="P371" s="239"/>
      <c r="Q371" s="239"/>
      <c r="R371" s="239"/>
      <c r="S371" s="239"/>
      <c r="T371" s="239"/>
    </row>
    <row r="372" spans="1:20" s="82" customFormat="1" x14ac:dyDescent="0.25">
      <c r="A372" s="24" t="s">
        <v>965</v>
      </c>
      <c r="B372" s="53">
        <v>905</v>
      </c>
      <c r="C372" s="48" t="s">
        <v>31</v>
      </c>
      <c r="D372" s="48" t="s">
        <v>26</v>
      </c>
      <c r="E372" s="48" t="s">
        <v>966</v>
      </c>
      <c r="F372" s="48"/>
      <c r="G372" s="119">
        <f>G373</f>
        <v>3063.6</v>
      </c>
      <c r="H372" s="119">
        <f t="shared" si="123"/>
        <v>0</v>
      </c>
      <c r="I372" s="119">
        <f t="shared" si="123"/>
        <v>0</v>
      </c>
      <c r="J372" s="144"/>
      <c r="K372" s="239"/>
      <c r="L372" s="239"/>
      <c r="M372" s="239"/>
      <c r="N372" s="239"/>
      <c r="O372" s="239"/>
      <c r="P372" s="239"/>
      <c r="Q372" s="239"/>
      <c r="R372" s="239"/>
      <c r="S372" s="239"/>
      <c r="T372" s="239"/>
    </row>
    <row r="373" spans="1:20" s="82" customFormat="1" x14ac:dyDescent="0.25">
      <c r="A373" s="24" t="s">
        <v>95</v>
      </c>
      <c r="B373" s="53">
        <v>905</v>
      </c>
      <c r="C373" s="48" t="s">
        <v>31</v>
      </c>
      <c r="D373" s="48" t="s">
        <v>26</v>
      </c>
      <c r="E373" s="48" t="s">
        <v>966</v>
      </c>
      <c r="F373" s="48" t="s">
        <v>62</v>
      </c>
      <c r="G373" s="119">
        <v>3063.6</v>
      </c>
      <c r="H373" s="119">
        <v>0</v>
      </c>
      <c r="I373" s="119">
        <v>0</v>
      </c>
      <c r="J373" s="144"/>
      <c r="K373" s="239"/>
      <c r="L373" s="239"/>
      <c r="M373" s="239"/>
      <c r="N373" s="239"/>
      <c r="O373" s="239"/>
      <c r="P373" s="239"/>
      <c r="Q373" s="239"/>
      <c r="R373" s="239"/>
      <c r="S373" s="239"/>
      <c r="T373" s="239"/>
    </row>
    <row r="374" spans="1:20" s="82" customFormat="1" x14ac:dyDescent="0.25">
      <c r="A374" s="24" t="s">
        <v>756</v>
      </c>
      <c r="B374" s="53">
        <v>905</v>
      </c>
      <c r="C374" s="48" t="s">
        <v>31</v>
      </c>
      <c r="D374" s="48" t="s">
        <v>26</v>
      </c>
      <c r="E374" s="48" t="s">
        <v>617</v>
      </c>
      <c r="F374" s="48"/>
      <c r="G374" s="119">
        <f>G375+G382</f>
        <v>350</v>
      </c>
      <c r="H374" s="119">
        <f t="shared" ref="H374:I374" si="124">H375+H382</f>
        <v>350</v>
      </c>
      <c r="I374" s="119">
        <f t="shared" si="124"/>
        <v>350</v>
      </c>
      <c r="J374" s="239"/>
      <c r="K374" s="239"/>
      <c r="L374" s="239"/>
      <c r="M374" s="239"/>
      <c r="N374" s="239"/>
      <c r="O374" s="239"/>
      <c r="P374" s="239"/>
      <c r="Q374" s="239"/>
      <c r="R374" s="239"/>
      <c r="S374" s="239"/>
      <c r="T374" s="239"/>
    </row>
    <row r="375" spans="1:20" s="82" customFormat="1" ht="20.25" customHeight="1" x14ac:dyDescent="0.25">
      <c r="A375" s="24" t="s">
        <v>790</v>
      </c>
      <c r="B375" s="53">
        <v>905</v>
      </c>
      <c r="C375" s="48" t="s">
        <v>31</v>
      </c>
      <c r="D375" s="48" t="s">
        <v>26</v>
      </c>
      <c r="E375" s="48" t="s">
        <v>618</v>
      </c>
      <c r="F375" s="48"/>
      <c r="G375" s="119">
        <f>G376+G378+G380</f>
        <v>200</v>
      </c>
      <c r="H375" s="119">
        <f t="shared" ref="H375:I375" si="125">H376+H378+H380</f>
        <v>200</v>
      </c>
      <c r="I375" s="119">
        <f t="shared" si="125"/>
        <v>200</v>
      </c>
      <c r="J375" s="239"/>
      <c r="K375" s="239"/>
      <c r="L375" s="239"/>
      <c r="M375" s="239"/>
      <c r="N375" s="239"/>
      <c r="O375" s="239"/>
      <c r="P375" s="239"/>
      <c r="Q375" s="239"/>
      <c r="R375" s="239"/>
      <c r="S375" s="239"/>
      <c r="T375" s="239"/>
    </row>
    <row r="376" spans="1:20" s="82" customFormat="1" x14ac:dyDescent="0.25">
      <c r="A376" s="24" t="s">
        <v>622</v>
      </c>
      <c r="B376" s="53">
        <v>905</v>
      </c>
      <c r="C376" s="48" t="s">
        <v>31</v>
      </c>
      <c r="D376" s="48" t="s">
        <v>26</v>
      </c>
      <c r="E376" s="48" t="s">
        <v>621</v>
      </c>
      <c r="F376" s="48"/>
      <c r="G376" s="119">
        <f>G377</f>
        <v>30</v>
      </c>
      <c r="H376" s="119">
        <f t="shared" ref="H376:I376" si="126">H377</f>
        <v>30</v>
      </c>
      <c r="I376" s="119">
        <f t="shared" si="126"/>
        <v>30</v>
      </c>
      <c r="J376" s="239"/>
      <c r="K376" s="239"/>
      <c r="L376" s="239"/>
      <c r="M376" s="239"/>
      <c r="N376" s="239"/>
      <c r="O376" s="239"/>
      <c r="P376" s="239"/>
      <c r="Q376" s="239"/>
      <c r="R376" s="239"/>
      <c r="S376" s="239"/>
      <c r="T376" s="239"/>
    </row>
    <row r="377" spans="1:20" s="82" customFormat="1" ht="25.5" x14ac:dyDescent="0.25">
      <c r="A377" s="24" t="s">
        <v>226</v>
      </c>
      <c r="B377" s="53">
        <v>905</v>
      </c>
      <c r="C377" s="48" t="s">
        <v>31</v>
      </c>
      <c r="D377" s="48" t="s">
        <v>26</v>
      </c>
      <c r="E377" s="48" t="s">
        <v>621</v>
      </c>
      <c r="F377" s="48" t="s">
        <v>59</v>
      </c>
      <c r="G377" s="119">
        <v>30</v>
      </c>
      <c r="H377" s="119">
        <v>30</v>
      </c>
      <c r="I377" s="119">
        <v>30</v>
      </c>
      <c r="J377" s="239"/>
      <c r="K377" s="239"/>
      <c r="L377" s="239"/>
      <c r="M377" s="239"/>
      <c r="N377" s="239"/>
      <c r="O377" s="239"/>
      <c r="P377" s="239"/>
      <c r="Q377" s="239"/>
      <c r="R377" s="239"/>
      <c r="S377" s="239"/>
      <c r="T377" s="239"/>
    </row>
    <row r="378" spans="1:20" s="82" customFormat="1" x14ac:dyDescent="0.25">
      <c r="A378" s="24" t="s">
        <v>620</v>
      </c>
      <c r="B378" s="53">
        <v>905</v>
      </c>
      <c r="C378" s="48" t="s">
        <v>31</v>
      </c>
      <c r="D378" s="48" t="s">
        <v>26</v>
      </c>
      <c r="E378" s="48" t="s">
        <v>619</v>
      </c>
      <c r="F378" s="48"/>
      <c r="G378" s="119">
        <f>G379</f>
        <v>50</v>
      </c>
      <c r="H378" s="119">
        <f t="shared" ref="H378:I378" si="127">H379</f>
        <v>50</v>
      </c>
      <c r="I378" s="119">
        <f t="shared" si="127"/>
        <v>50</v>
      </c>
      <c r="J378" s="239"/>
      <c r="K378" s="239"/>
      <c r="L378" s="239"/>
      <c r="M378" s="239"/>
      <c r="N378" s="239"/>
      <c r="O378" s="239"/>
      <c r="P378" s="239"/>
      <c r="Q378" s="239"/>
      <c r="R378" s="239"/>
      <c r="S378" s="239"/>
      <c r="T378" s="239"/>
    </row>
    <row r="379" spans="1:20" s="82" customFormat="1" ht="25.5" x14ac:dyDescent="0.25">
      <c r="A379" s="24" t="s">
        <v>226</v>
      </c>
      <c r="B379" s="53">
        <v>905</v>
      </c>
      <c r="C379" s="48" t="s">
        <v>31</v>
      </c>
      <c r="D379" s="48" t="s">
        <v>26</v>
      </c>
      <c r="E379" s="48" t="s">
        <v>619</v>
      </c>
      <c r="F379" s="48" t="s">
        <v>59</v>
      </c>
      <c r="G379" s="119">
        <v>50</v>
      </c>
      <c r="H379" s="119">
        <v>50</v>
      </c>
      <c r="I379" s="119">
        <v>50</v>
      </c>
      <c r="J379" s="239"/>
      <c r="K379" s="239"/>
      <c r="L379" s="239"/>
      <c r="M379" s="239"/>
      <c r="N379" s="239"/>
      <c r="O379" s="239"/>
      <c r="P379" s="239"/>
      <c r="Q379" s="239"/>
      <c r="R379" s="239"/>
      <c r="S379" s="239"/>
      <c r="T379" s="239"/>
    </row>
    <row r="380" spans="1:20" s="82" customFormat="1" x14ac:dyDescent="0.25">
      <c r="A380" s="24" t="s">
        <v>624</v>
      </c>
      <c r="B380" s="53">
        <v>905</v>
      </c>
      <c r="C380" s="48" t="s">
        <v>31</v>
      </c>
      <c r="D380" s="48" t="s">
        <v>26</v>
      </c>
      <c r="E380" s="48" t="s">
        <v>623</v>
      </c>
      <c r="F380" s="48"/>
      <c r="G380" s="119">
        <f>G381</f>
        <v>120</v>
      </c>
      <c r="H380" s="119">
        <f t="shared" ref="H380:I380" si="128">H381</f>
        <v>120</v>
      </c>
      <c r="I380" s="119">
        <f t="shared" si="128"/>
        <v>120</v>
      </c>
      <c r="J380" s="239"/>
      <c r="K380" s="239"/>
      <c r="L380" s="239"/>
      <c r="M380" s="239"/>
      <c r="N380" s="239"/>
      <c r="O380" s="239"/>
      <c r="P380" s="239"/>
      <c r="Q380" s="239"/>
      <c r="R380" s="239"/>
      <c r="S380" s="239"/>
      <c r="T380" s="239"/>
    </row>
    <row r="381" spans="1:20" s="82" customFormat="1" ht="25.5" x14ac:dyDescent="0.25">
      <c r="A381" s="24" t="s">
        <v>226</v>
      </c>
      <c r="B381" s="53">
        <v>905</v>
      </c>
      <c r="C381" s="48" t="s">
        <v>31</v>
      </c>
      <c r="D381" s="48" t="s">
        <v>26</v>
      </c>
      <c r="E381" s="48" t="s">
        <v>623</v>
      </c>
      <c r="F381" s="48" t="s">
        <v>59</v>
      </c>
      <c r="G381" s="119">
        <v>120</v>
      </c>
      <c r="H381" s="119">
        <v>120</v>
      </c>
      <c r="I381" s="119">
        <v>120</v>
      </c>
      <c r="J381" s="239"/>
      <c r="K381" s="239"/>
      <c r="L381" s="239"/>
      <c r="M381" s="239"/>
      <c r="N381" s="239"/>
      <c r="O381" s="239"/>
      <c r="P381" s="239"/>
      <c r="Q381" s="239"/>
      <c r="R381" s="239"/>
      <c r="S381" s="239"/>
      <c r="T381" s="239"/>
    </row>
    <row r="382" spans="1:20" s="82" customFormat="1" x14ac:dyDescent="0.25">
      <c r="A382" s="24" t="s">
        <v>791</v>
      </c>
      <c r="B382" s="53">
        <v>905</v>
      </c>
      <c r="C382" s="48" t="s">
        <v>31</v>
      </c>
      <c r="D382" s="48" t="s">
        <v>26</v>
      </c>
      <c r="E382" s="48" t="s">
        <v>625</v>
      </c>
      <c r="F382" s="48"/>
      <c r="G382" s="119">
        <f>G383</f>
        <v>150</v>
      </c>
      <c r="H382" s="119">
        <f t="shared" ref="H382:I383" si="129">H383</f>
        <v>150</v>
      </c>
      <c r="I382" s="119">
        <f t="shared" si="129"/>
        <v>150</v>
      </c>
      <c r="J382" s="239"/>
      <c r="K382" s="239"/>
      <c r="L382" s="239"/>
      <c r="M382" s="239"/>
      <c r="N382" s="239"/>
      <c r="O382" s="239"/>
      <c r="P382" s="239"/>
      <c r="Q382" s="239"/>
      <c r="R382" s="239"/>
      <c r="S382" s="239"/>
      <c r="T382" s="239"/>
    </row>
    <row r="383" spans="1:20" s="82" customFormat="1" x14ac:dyDescent="0.25">
      <c r="A383" s="24" t="s">
        <v>627</v>
      </c>
      <c r="B383" s="53">
        <v>905</v>
      </c>
      <c r="C383" s="48" t="s">
        <v>31</v>
      </c>
      <c r="D383" s="48" t="s">
        <v>26</v>
      </c>
      <c r="E383" s="48" t="s">
        <v>626</v>
      </c>
      <c r="F383" s="48"/>
      <c r="G383" s="119">
        <f>G384</f>
        <v>150</v>
      </c>
      <c r="H383" s="119">
        <f t="shared" si="129"/>
        <v>150</v>
      </c>
      <c r="I383" s="119">
        <f t="shared" si="129"/>
        <v>150</v>
      </c>
      <c r="J383" s="239"/>
      <c r="K383" s="239"/>
      <c r="L383" s="239"/>
      <c r="M383" s="239"/>
      <c r="N383" s="239"/>
      <c r="O383" s="239"/>
      <c r="P383" s="239"/>
      <c r="Q383" s="239"/>
      <c r="R383" s="239"/>
      <c r="S383" s="239"/>
      <c r="T383" s="239"/>
    </row>
    <row r="384" spans="1:20" s="82" customFormat="1" ht="25.5" x14ac:dyDescent="0.25">
      <c r="A384" s="24" t="s">
        <v>226</v>
      </c>
      <c r="B384" s="53">
        <v>905</v>
      </c>
      <c r="C384" s="48" t="s">
        <v>31</v>
      </c>
      <c r="D384" s="48" t="s">
        <v>26</v>
      </c>
      <c r="E384" s="48" t="s">
        <v>626</v>
      </c>
      <c r="F384" s="48" t="s">
        <v>59</v>
      </c>
      <c r="G384" s="119">
        <v>150</v>
      </c>
      <c r="H384" s="119">
        <v>150</v>
      </c>
      <c r="I384" s="119">
        <v>150</v>
      </c>
      <c r="J384" s="239"/>
      <c r="K384" s="239"/>
      <c r="L384" s="239"/>
      <c r="M384" s="239"/>
      <c r="N384" s="239"/>
      <c r="O384" s="239"/>
      <c r="P384" s="239"/>
      <c r="Q384" s="239"/>
      <c r="R384" s="239"/>
      <c r="S384" s="239"/>
      <c r="T384" s="239"/>
    </row>
    <row r="385" spans="1:20" s="82" customFormat="1" ht="25.5" x14ac:dyDescent="0.25">
      <c r="A385" s="24" t="s">
        <v>498</v>
      </c>
      <c r="B385" s="53">
        <v>905</v>
      </c>
      <c r="C385" s="48" t="s">
        <v>31</v>
      </c>
      <c r="D385" s="48" t="s">
        <v>26</v>
      </c>
      <c r="E385" s="48" t="s">
        <v>499</v>
      </c>
      <c r="F385" s="48"/>
      <c r="G385" s="119">
        <f t="shared" ref="G385:I388" si="130">G386</f>
        <v>50</v>
      </c>
      <c r="H385" s="119">
        <f t="shared" si="130"/>
        <v>50</v>
      </c>
      <c r="I385" s="119">
        <f t="shared" si="130"/>
        <v>50</v>
      </c>
      <c r="J385" s="239"/>
      <c r="K385" s="239"/>
      <c r="L385" s="239"/>
      <c r="M385" s="239"/>
      <c r="N385" s="239"/>
      <c r="O385" s="239"/>
      <c r="P385" s="239"/>
      <c r="Q385" s="239"/>
      <c r="R385" s="239"/>
      <c r="S385" s="239"/>
      <c r="T385" s="239"/>
    </row>
    <row r="386" spans="1:20" s="82" customFormat="1" x14ac:dyDescent="0.25">
      <c r="A386" s="24" t="s">
        <v>757</v>
      </c>
      <c r="B386" s="53">
        <v>905</v>
      </c>
      <c r="C386" s="48" t="s">
        <v>31</v>
      </c>
      <c r="D386" s="48" t="s">
        <v>26</v>
      </c>
      <c r="E386" s="48" t="s">
        <v>506</v>
      </c>
      <c r="F386" s="48"/>
      <c r="G386" s="119">
        <f t="shared" si="130"/>
        <v>50</v>
      </c>
      <c r="H386" s="119">
        <f t="shared" si="130"/>
        <v>50</v>
      </c>
      <c r="I386" s="119">
        <f t="shared" si="130"/>
        <v>50</v>
      </c>
      <c r="J386" s="239"/>
      <c r="K386" s="239"/>
      <c r="L386" s="239"/>
      <c r="M386" s="239"/>
      <c r="N386" s="239"/>
      <c r="O386" s="239"/>
      <c r="P386" s="239"/>
      <c r="Q386" s="239"/>
      <c r="R386" s="239"/>
      <c r="S386" s="239"/>
      <c r="T386" s="239"/>
    </row>
    <row r="387" spans="1:20" s="82" customFormat="1" ht="25.5" x14ac:dyDescent="0.25">
      <c r="A387" s="24" t="s">
        <v>792</v>
      </c>
      <c r="B387" s="53">
        <v>905</v>
      </c>
      <c r="C387" s="48" t="s">
        <v>31</v>
      </c>
      <c r="D387" s="48" t="s">
        <v>26</v>
      </c>
      <c r="E387" s="48" t="s">
        <v>510</v>
      </c>
      <c r="F387" s="48"/>
      <c r="G387" s="119">
        <f t="shared" si="130"/>
        <v>50</v>
      </c>
      <c r="H387" s="119">
        <f t="shared" si="130"/>
        <v>50</v>
      </c>
      <c r="I387" s="119">
        <f t="shared" si="130"/>
        <v>50</v>
      </c>
      <c r="J387" s="239"/>
      <c r="K387" s="239"/>
      <c r="L387" s="239"/>
      <c r="M387" s="239"/>
      <c r="N387" s="239"/>
      <c r="O387" s="239"/>
      <c r="P387" s="239"/>
      <c r="Q387" s="239"/>
      <c r="R387" s="239"/>
      <c r="S387" s="239"/>
      <c r="T387" s="239"/>
    </row>
    <row r="388" spans="1:20" s="82" customFormat="1" ht="25.5" x14ac:dyDescent="0.25">
      <c r="A388" s="24" t="s">
        <v>93</v>
      </c>
      <c r="B388" s="53">
        <v>905</v>
      </c>
      <c r="C388" s="48" t="s">
        <v>31</v>
      </c>
      <c r="D388" s="48" t="s">
        <v>26</v>
      </c>
      <c r="E388" s="48" t="s">
        <v>535</v>
      </c>
      <c r="F388" s="48"/>
      <c r="G388" s="119">
        <f t="shared" si="130"/>
        <v>50</v>
      </c>
      <c r="H388" s="119">
        <f t="shared" si="130"/>
        <v>50</v>
      </c>
      <c r="I388" s="119">
        <f t="shared" si="130"/>
        <v>50</v>
      </c>
      <c r="J388" s="239"/>
      <c r="K388" s="239"/>
      <c r="L388" s="239"/>
      <c r="M388" s="239"/>
      <c r="N388" s="239"/>
      <c r="O388" s="239"/>
      <c r="P388" s="239"/>
      <c r="Q388" s="239"/>
      <c r="R388" s="239"/>
      <c r="S388" s="239"/>
      <c r="T388" s="239"/>
    </row>
    <row r="389" spans="1:20" s="82" customFormat="1" ht="25.5" x14ac:dyDescent="0.25">
      <c r="A389" s="24" t="s">
        <v>64</v>
      </c>
      <c r="B389" s="53">
        <v>905</v>
      </c>
      <c r="C389" s="48" t="s">
        <v>31</v>
      </c>
      <c r="D389" s="48" t="s">
        <v>26</v>
      </c>
      <c r="E389" s="48" t="s">
        <v>535</v>
      </c>
      <c r="F389" s="48" t="s">
        <v>65</v>
      </c>
      <c r="G389" s="119">
        <v>50</v>
      </c>
      <c r="H389" s="119">
        <v>50</v>
      </c>
      <c r="I389" s="119">
        <v>50</v>
      </c>
      <c r="J389" s="239"/>
      <c r="K389" s="239"/>
      <c r="L389" s="239"/>
      <c r="M389" s="239"/>
      <c r="N389" s="239"/>
      <c r="O389" s="239"/>
      <c r="P389" s="239"/>
      <c r="Q389" s="239"/>
      <c r="R389" s="239"/>
      <c r="S389" s="239"/>
      <c r="T389" s="239"/>
    </row>
    <row r="390" spans="1:20" s="6" customFormat="1" ht="25.5" x14ac:dyDescent="0.25">
      <c r="A390" s="24" t="s">
        <v>164</v>
      </c>
      <c r="B390" s="53">
        <v>905</v>
      </c>
      <c r="C390" s="48" t="s">
        <v>31</v>
      </c>
      <c r="D390" s="48" t="s">
        <v>26</v>
      </c>
      <c r="E390" s="48" t="s">
        <v>101</v>
      </c>
      <c r="F390" s="48"/>
      <c r="G390" s="119">
        <f t="shared" ref="G390:I391" si="131">G391</f>
        <v>300</v>
      </c>
      <c r="H390" s="119">
        <f t="shared" si="131"/>
        <v>300</v>
      </c>
      <c r="I390" s="119">
        <f t="shared" si="131"/>
        <v>300</v>
      </c>
      <c r="J390" s="239"/>
      <c r="K390" s="239"/>
      <c r="L390" s="239"/>
      <c r="M390" s="67"/>
      <c r="N390" s="67"/>
      <c r="O390" s="67"/>
      <c r="P390" s="67"/>
      <c r="Q390" s="67"/>
      <c r="R390" s="67"/>
      <c r="S390" s="67"/>
      <c r="T390" s="67"/>
    </row>
    <row r="391" spans="1:20" s="6" customFormat="1" ht="51" x14ac:dyDescent="0.25">
      <c r="A391" s="24" t="s">
        <v>329</v>
      </c>
      <c r="B391" s="53">
        <v>905</v>
      </c>
      <c r="C391" s="48" t="s">
        <v>31</v>
      </c>
      <c r="D391" s="48" t="s">
        <v>26</v>
      </c>
      <c r="E391" s="48" t="s">
        <v>232</v>
      </c>
      <c r="F391" s="48"/>
      <c r="G391" s="119">
        <f t="shared" si="131"/>
        <v>300</v>
      </c>
      <c r="H391" s="119">
        <f t="shared" si="131"/>
        <v>300</v>
      </c>
      <c r="I391" s="119">
        <f t="shared" si="131"/>
        <v>300</v>
      </c>
      <c r="J391" s="207"/>
      <c r="K391" s="206"/>
      <c r="L391" s="206"/>
      <c r="M391" s="67"/>
      <c r="N391" s="67"/>
      <c r="O391" s="67"/>
      <c r="P391" s="67"/>
      <c r="Q391" s="67"/>
      <c r="R391" s="67"/>
      <c r="S391" s="67"/>
      <c r="T391" s="67"/>
    </row>
    <row r="392" spans="1:20" s="6" customFormat="1" ht="25.5" x14ac:dyDescent="0.25">
      <c r="A392" s="24" t="s">
        <v>64</v>
      </c>
      <c r="B392" s="53">
        <v>905</v>
      </c>
      <c r="C392" s="48" t="s">
        <v>31</v>
      </c>
      <c r="D392" s="48" t="s">
        <v>26</v>
      </c>
      <c r="E392" s="48" t="s">
        <v>232</v>
      </c>
      <c r="F392" s="48" t="s">
        <v>65</v>
      </c>
      <c r="G392" s="119">
        <v>300</v>
      </c>
      <c r="H392" s="119">
        <v>300</v>
      </c>
      <c r="I392" s="119">
        <v>300</v>
      </c>
      <c r="J392" s="135"/>
      <c r="K392" s="154"/>
      <c r="L392" s="154"/>
      <c r="M392" s="67"/>
      <c r="N392" s="67"/>
      <c r="O392" s="67"/>
      <c r="P392" s="67"/>
      <c r="Q392" s="67"/>
      <c r="R392" s="67"/>
      <c r="S392" s="67"/>
      <c r="T392" s="67"/>
    </row>
    <row r="393" spans="1:20" s="82" customFormat="1" x14ac:dyDescent="0.25">
      <c r="A393" s="24" t="s">
        <v>51</v>
      </c>
      <c r="B393" s="53">
        <v>905</v>
      </c>
      <c r="C393" s="48" t="s">
        <v>31</v>
      </c>
      <c r="D393" s="48" t="s">
        <v>29</v>
      </c>
      <c r="E393" s="48"/>
      <c r="F393" s="48"/>
      <c r="G393" s="119">
        <f>G398+G404+G394</f>
        <v>10654.8</v>
      </c>
      <c r="H393" s="119">
        <f t="shared" ref="H393:I393" si="132">H398+H404+H394</f>
        <v>11034.199999999999</v>
      </c>
      <c r="I393" s="119">
        <f t="shared" si="132"/>
        <v>11454.5</v>
      </c>
      <c r="J393" s="239"/>
      <c r="K393" s="239"/>
      <c r="L393" s="239"/>
      <c r="M393" s="239"/>
      <c r="N393" s="239"/>
      <c r="O393" s="239"/>
      <c r="P393" s="239"/>
      <c r="Q393" s="239"/>
      <c r="R393" s="239"/>
      <c r="S393" s="239"/>
      <c r="T393" s="239"/>
    </row>
    <row r="394" spans="1:20" s="82" customFormat="1" ht="25.5" x14ac:dyDescent="0.25">
      <c r="A394" s="23" t="s">
        <v>546</v>
      </c>
      <c r="B394" s="53">
        <v>905</v>
      </c>
      <c r="C394" s="48" t="s">
        <v>31</v>
      </c>
      <c r="D394" s="48" t="s">
        <v>29</v>
      </c>
      <c r="E394" s="48" t="s">
        <v>143</v>
      </c>
      <c r="F394" s="48"/>
      <c r="G394" s="119">
        <f>G395</f>
        <v>150</v>
      </c>
      <c r="H394" s="119">
        <f t="shared" ref="H394:I396" si="133">H395</f>
        <v>150</v>
      </c>
      <c r="I394" s="119">
        <f t="shared" si="133"/>
        <v>150</v>
      </c>
      <c r="J394" s="239"/>
      <c r="K394" s="239"/>
      <c r="L394" s="239"/>
      <c r="M394" s="239"/>
      <c r="N394" s="239"/>
      <c r="O394" s="239"/>
      <c r="P394" s="239"/>
      <c r="Q394" s="239"/>
      <c r="R394" s="239"/>
      <c r="S394" s="239"/>
      <c r="T394" s="239"/>
    </row>
    <row r="395" spans="1:20" s="82" customFormat="1" ht="38.25" x14ac:dyDescent="0.25">
      <c r="A395" s="23" t="s">
        <v>809</v>
      </c>
      <c r="B395" s="53">
        <v>905</v>
      </c>
      <c r="C395" s="48" t="s">
        <v>31</v>
      </c>
      <c r="D395" s="48" t="s">
        <v>29</v>
      </c>
      <c r="E395" s="48" t="s">
        <v>144</v>
      </c>
      <c r="F395" s="48"/>
      <c r="G395" s="119">
        <f>G396</f>
        <v>150</v>
      </c>
      <c r="H395" s="119">
        <f t="shared" si="133"/>
        <v>150</v>
      </c>
      <c r="I395" s="119">
        <f t="shared" si="133"/>
        <v>150</v>
      </c>
      <c r="J395" s="239"/>
      <c r="K395" s="239"/>
      <c r="L395" s="239"/>
      <c r="M395" s="239"/>
      <c r="N395" s="239"/>
      <c r="O395" s="239"/>
      <c r="P395" s="239"/>
      <c r="Q395" s="239"/>
      <c r="R395" s="239"/>
      <c r="S395" s="239"/>
      <c r="T395" s="239"/>
    </row>
    <row r="396" spans="1:20" s="82" customFormat="1" ht="38.25" x14ac:dyDescent="0.25">
      <c r="A396" s="24" t="s">
        <v>710</v>
      </c>
      <c r="B396" s="53">
        <v>905</v>
      </c>
      <c r="C396" s="48" t="s">
        <v>31</v>
      </c>
      <c r="D396" s="48" t="s">
        <v>29</v>
      </c>
      <c r="E396" s="48" t="s">
        <v>709</v>
      </c>
      <c r="F396" s="48"/>
      <c r="G396" s="119">
        <f>G397</f>
        <v>150</v>
      </c>
      <c r="H396" s="119">
        <f t="shared" si="133"/>
        <v>150</v>
      </c>
      <c r="I396" s="119">
        <f t="shared" si="133"/>
        <v>150</v>
      </c>
      <c r="J396" s="239"/>
      <c r="K396" s="239"/>
      <c r="L396" s="239"/>
      <c r="M396" s="239"/>
      <c r="N396" s="239"/>
      <c r="O396" s="239"/>
      <c r="P396" s="239"/>
      <c r="Q396" s="239"/>
      <c r="R396" s="239"/>
      <c r="S396" s="239"/>
      <c r="T396" s="239"/>
    </row>
    <row r="397" spans="1:20" s="82" customFormat="1" ht="25.5" x14ac:dyDescent="0.25">
      <c r="A397" s="24" t="s">
        <v>226</v>
      </c>
      <c r="B397" s="53">
        <v>905</v>
      </c>
      <c r="C397" s="48" t="s">
        <v>31</v>
      </c>
      <c r="D397" s="48" t="s">
        <v>29</v>
      </c>
      <c r="E397" s="48" t="s">
        <v>709</v>
      </c>
      <c r="F397" s="48" t="s">
        <v>59</v>
      </c>
      <c r="G397" s="119">
        <v>150</v>
      </c>
      <c r="H397" s="119">
        <v>150</v>
      </c>
      <c r="I397" s="119">
        <v>150</v>
      </c>
      <c r="J397" s="239"/>
      <c r="K397" s="239"/>
      <c r="L397" s="239"/>
      <c r="M397" s="239"/>
      <c r="N397" s="239"/>
      <c r="O397" s="239"/>
      <c r="P397" s="239"/>
      <c r="Q397" s="239"/>
      <c r="R397" s="239"/>
      <c r="S397" s="239"/>
      <c r="T397" s="239"/>
    </row>
    <row r="398" spans="1:20" s="82" customFormat="1" ht="25.5" x14ac:dyDescent="0.25">
      <c r="A398" s="24" t="s">
        <v>494</v>
      </c>
      <c r="B398" s="53">
        <v>905</v>
      </c>
      <c r="C398" s="48" t="s">
        <v>31</v>
      </c>
      <c r="D398" s="48" t="s">
        <v>29</v>
      </c>
      <c r="E398" s="48" t="s">
        <v>119</v>
      </c>
      <c r="F398" s="48"/>
      <c r="G398" s="119">
        <f t="shared" ref="G398:I400" si="134">G399</f>
        <v>10491.9</v>
      </c>
      <c r="H398" s="119">
        <f t="shared" si="134"/>
        <v>10871.3</v>
      </c>
      <c r="I398" s="119">
        <f t="shared" si="134"/>
        <v>11291.6</v>
      </c>
      <c r="J398" s="239"/>
      <c r="K398" s="239"/>
      <c r="L398" s="239"/>
      <c r="M398" s="239"/>
      <c r="N398" s="239"/>
      <c r="O398" s="239"/>
      <c r="P398" s="239"/>
      <c r="Q398" s="239"/>
      <c r="R398" s="239"/>
      <c r="S398" s="239"/>
      <c r="T398" s="239"/>
    </row>
    <row r="399" spans="1:20" s="82" customFormat="1" ht="25.5" x14ac:dyDescent="0.25">
      <c r="A399" s="24" t="s">
        <v>758</v>
      </c>
      <c r="B399" s="53">
        <v>905</v>
      </c>
      <c r="C399" s="48" t="s">
        <v>31</v>
      </c>
      <c r="D399" s="48" t="s">
        <v>29</v>
      </c>
      <c r="E399" s="48" t="s">
        <v>538</v>
      </c>
      <c r="F399" s="48"/>
      <c r="G399" s="119">
        <f t="shared" si="134"/>
        <v>10491.9</v>
      </c>
      <c r="H399" s="119">
        <f t="shared" si="134"/>
        <v>10871.3</v>
      </c>
      <c r="I399" s="119">
        <f t="shared" si="134"/>
        <v>11291.6</v>
      </c>
      <c r="J399" s="239"/>
      <c r="K399" s="239"/>
      <c r="L399" s="239"/>
      <c r="M399" s="239"/>
      <c r="N399" s="239"/>
      <c r="O399" s="239"/>
      <c r="P399" s="239"/>
      <c r="Q399" s="239"/>
      <c r="R399" s="239"/>
      <c r="S399" s="239"/>
      <c r="T399" s="239"/>
    </row>
    <row r="400" spans="1:20" s="82" customFormat="1" ht="25.5" x14ac:dyDescent="0.25">
      <c r="A400" s="24" t="s">
        <v>793</v>
      </c>
      <c r="B400" s="53">
        <v>905</v>
      </c>
      <c r="C400" s="48" t="s">
        <v>31</v>
      </c>
      <c r="D400" s="48" t="s">
        <v>29</v>
      </c>
      <c r="E400" s="48" t="s">
        <v>539</v>
      </c>
      <c r="F400" s="48"/>
      <c r="G400" s="119">
        <f t="shared" si="134"/>
        <v>10491.9</v>
      </c>
      <c r="H400" s="119">
        <f t="shared" si="134"/>
        <v>10871.3</v>
      </c>
      <c r="I400" s="119">
        <f t="shared" si="134"/>
        <v>11291.6</v>
      </c>
      <c r="J400" s="239"/>
      <c r="K400" s="239"/>
      <c r="L400" s="239"/>
      <c r="M400" s="239"/>
      <c r="N400" s="239"/>
      <c r="O400" s="239"/>
      <c r="P400" s="239"/>
      <c r="Q400" s="239"/>
      <c r="R400" s="239"/>
      <c r="S400" s="239"/>
      <c r="T400" s="239"/>
    </row>
    <row r="401" spans="1:20" s="82" customFormat="1" x14ac:dyDescent="0.25">
      <c r="A401" s="24" t="s">
        <v>138</v>
      </c>
      <c r="B401" s="53">
        <v>905</v>
      </c>
      <c r="C401" s="48" t="s">
        <v>31</v>
      </c>
      <c r="D401" s="48" t="s">
        <v>29</v>
      </c>
      <c r="E401" s="48" t="s">
        <v>540</v>
      </c>
      <c r="F401" s="48"/>
      <c r="G401" s="119">
        <f>G402+G403</f>
        <v>10491.9</v>
      </c>
      <c r="H401" s="119">
        <f t="shared" ref="H401:I401" si="135">H402+H403</f>
        <v>10871.3</v>
      </c>
      <c r="I401" s="119">
        <f t="shared" si="135"/>
        <v>11291.6</v>
      </c>
      <c r="J401" s="239"/>
      <c r="K401" s="239"/>
      <c r="L401" s="239"/>
      <c r="M401" s="239"/>
      <c r="N401" s="239"/>
      <c r="O401" s="239"/>
      <c r="P401" s="239"/>
      <c r="Q401" s="239"/>
      <c r="R401" s="239"/>
      <c r="S401" s="239"/>
      <c r="T401" s="239"/>
    </row>
    <row r="402" spans="1:20" s="82" customFormat="1" ht="45.75" customHeight="1" x14ac:dyDescent="0.25">
      <c r="A402" s="24" t="s">
        <v>225</v>
      </c>
      <c r="B402" s="53">
        <v>905</v>
      </c>
      <c r="C402" s="48" t="s">
        <v>31</v>
      </c>
      <c r="D402" s="48" t="s">
        <v>29</v>
      </c>
      <c r="E402" s="48" t="s">
        <v>540</v>
      </c>
      <c r="F402" s="48" t="s">
        <v>66</v>
      </c>
      <c r="G402" s="119">
        <v>10124.4</v>
      </c>
      <c r="H402" s="119">
        <v>10528.4</v>
      </c>
      <c r="I402" s="119">
        <v>10948.7</v>
      </c>
      <c r="J402" s="239"/>
      <c r="K402" s="239"/>
      <c r="L402" s="239"/>
      <c r="M402" s="239"/>
      <c r="N402" s="239"/>
      <c r="O402" s="239"/>
      <c r="P402" s="239"/>
      <c r="Q402" s="239"/>
      <c r="R402" s="239"/>
      <c r="S402" s="239"/>
      <c r="T402" s="239"/>
    </row>
    <row r="403" spans="1:20" s="82" customFormat="1" ht="30.75" customHeight="1" x14ac:dyDescent="0.25">
      <c r="A403" s="24" t="s">
        <v>226</v>
      </c>
      <c r="B403" s="53">
        <v>905</v>
      </c>
      <c r="C403" s="48" t="s">
        <v>31</v>
      </c>
      <c r="D403" s="48" t="s">
        <v>29</v>
      </c>
      <c r="E403" s="48" t="s">
        <v>540</v>
      </c>
      <c r="F403" s="48" t="s">
        <v>59</v>
      </c>
      <c r="G403" s="119">
        <v>367.5</v>
      </c>
      <c r="H403" s="119">
        <v>342.9</v>
      </c>
      <c r="I403" s="119">
        <v>342.9</v>
      </c>
      <c r="J403" s="239"/>
      <c r="K403" s="239"/>
      <c r="L403" s="239"/>
      <c r="M403" s="239"/>
      <c r="N403" s="239"/>
      <c r="O403" s="239"/>
      <c r="P403" s="239"/>
      <c r="Q403" s="239"/>
      <c r="R403" s="239"/>
      <c r="S403" s="239"/>
      <c r="T403" s="239"/>
    </row>
    <row r="404" spans="1:20" s="82" customFormat="1" x14ac:dyDescent="0.25">
      <c r="A404" s="24" t="s">
        <v>94</v>
      </c>
      <c r="B404" s="53">
        <v>905</v>
      </c>
      <c r="C404" s="48" t="s">
        <v>31</v>
      </c>
      <c r="D404" s="48" t="s">
        <v>29</v>
      </c>
      <c r="E404" s="48" t="s">
        <v>120</v>
      </c>
      <c r="F404" s="48"/>
      <c r="G404" s="119">
        <f>G405</f>
        <v>12.9</v>
      </c>
      <c r="H404" s="119">
        <f t="shared" ref="H404:I405" si="136">H405</f>
        <v>12.9</v>
      </c>
      <c r="I404" s="119">
        <f t="shared" si="136"/>
        <v>12.9</v>
      </c>
      <c r="J404" s="239"/>
      <c r="K404" s="239"/>
      <c r="L404" s="239"/>
      <c r="M404" s="239"/>
      <c r="N404" s="239"/>
      <c r="O404" s="239"/>
      <c r="P404" s="239"/>
      <c r="Q404" s="239"/>
      <c r="R404" s="239"/>
      <c r="S404" s="239"/>
      <c r="T404" s="239"/>
    </row>
    <row r="405" spans="1:20" s="82" customFormat="1" x14ac:dyDescent="0.25">
      <c r="A405" s="24" t="s">
        <v>379</v>
      </c>
      <c r="B405" s="53">
        <v>905</v>
      </c>
      <c r="C405" s="48" t="s">
        <v>31</v>
      </c>
      <c r="D405" s="48" t="s">
        <v>29</v>
      </c>
      <c r="E405" s="48" t="s">
        <v>380</v>
      </c>
      <c r="F405" s="48"/>
      <c r="G405" s="119">
        <f>G406</f>
        <v>12.9</v>
      </c>
      <c r="H405" s="119">
        <f t="shared" si="136"/>
        <v>12.9</v>
      </c>
      <c r="I405" s="119">
        <f t="shared" si="136"/>
        <v>12.9</v>
      </c>
      <c r="J405" s="239"/>
      <c r="K405" s="239"/>
      <c r="L405" s="239"/>
      <c r="M405" s="239"/>
      <c r="N405" s="239"/>
      <c r="O405" s="239"/>
      <c r="P405" s="239"/>
      <c r="Q405" s="239"/>
      <c r="R405" s="239"/>
      <c r="S405" s="239"/>
      <c r="T405" s="239"/>
    </row>
    <row r="406" spans="1:20" s="82" customFormat="1" ht="25.5" x14ac:dyDescent="0.25">
      <c r="A406" s="24" t="s">
        <v>226</v>
      </c>
      <c r="B406" s="53">
        <v>905</v>
      </c>
      <c r="C406" s="48" t="s">
        <v>31</v>
      </c>
      <c r="D406" s="48" t="s">
        <v>29</v>
      </c>
      <c r="E406" s="48" t="s">
        <v>380</v>
      </c>
      <c r="F406" s="48" t="s">
        <v>59</v>
      </c>
      <c r="G406" s="119">
        <v>12.9</v>
      </c>
      <c r="H406" s="119">
        <v>12.9</v>
      </c>
      <c r="I406" s="119">
        <v>12.9</v>
      </c>
      <c r="J406" s="239"/>
      <c r="K406" s="239"/>
      <c r="L406" s="239"/>
      <c r="M406" s="239"/>
      <c r="N406" s="239"/>
      <c r="O406" s="239"/>
      <c r="P406" s="239"/>
      <c r="Q406" s="239"/>
      <c r="R406" s="239"/>
      <c r="S406" s="239"/>
      <c r="T406" s="239"/>
    </row>
    <row r="407" spans="1:20" s="82" customFormat="1" ht="31.5" x14ac:dyDescent="0.25">
      <c r="A407" s="86" t="s">
        <v>11</v>
      </c>
      <c r="B407" s="52">
        <v>906</v>
      </c>
      <c r="C407" s="44"/>
      <c r="D407" s="44"/>
      <c r="E407" s="44"/>
      <c r="F407" s="44"/>
      <c r="G407" s="116">
        <f>G408</f>
        <v>102363.8</v>
      </c>
      <c r="H407" s="116">
        <f t="shared" ref="H407:I407" si="137">H408</f>
        <v>106470.29999999999</v>
      </c>
      <c r="I407" s="116">
        <f t="shared" si="137"/>
        <v>110737.09999999999</v>
      </c>
      <c r="J407" s="177"/>
      <c r="K407" s="177"/>
      <c r="L407" s="177"/>
      <c r="M407" s="239"/>
      <c r="N407" s="239"/>
      <c r="O407" s="239"/>
      <c r="P407" s="239"/>
      <c r="Q407" s="239"/>
      <c r="R407" s="239"/>
      <c r="S407" s="239"/>
      <c r="T407" s="239"/>
    </row>
    <row r="408" spans="1:20" s="88" customFormat="1" x14ac:dyDescent="0.25">
      <c r="A408" s="24" t="s">
        <v>63</v>
      </c>
      <c r="B408" s="53">
        <v>906</v>
      </c>
      <c r="C408" s="48" t="s">
        <v>32</v>
      </c>
      <c r="D408" s="48"/>
      <c r="E408" s="48"/>
      <c r="F408" s="48"/>
      <c r="G408" s="119">
        <f>G426+G455+G409</f>
        <v>102363.8</v>
      </c>
      <c r="H408" s="119">
        <f t="shared" ref="H408:I408" si="138">H426+H455+H409</f>
        <v>106470.29999999999</v>
      </c>
      <c r="I408" s="119">
        <f t="shared" si="138"/>
        <v>110737.09999999999</v>
      </c>
      <c r="J408" s="163"/>
      <c r="K408" s="163"/>
      <c r="L408" s="163"/>
      <c r="M408" s="68"/>
      <c r="N408" s="68"/>
      <c r="O408" s="68"/>
      <c r="P408" s="68"/>
      <c r="Q408" s="68"/>
      <c r="R408" s="68"/>
      <c r="S408" s="68"/>
      <c r="T408" s="68"/>
    </row>
    <row r="409" spans="1:20" s="88" customFormat="1" x14ac:dyDescent="0.25">
      <c r="A409" s="24" t="s">
        <v>56</v>
      </c>
      <c r="B409" s="53">
        <v>906</v>
      </c>
      <c r="C409" s="48" t="s">
        <v>32</v>
      </c>
      <c r="D409" s="48" t="s">
        <v>26</v>
      </c>
      <c r="E409" s="48"/>
      <c r="F409" s="48"/>
      <c r="G409" s="119">
        <f>G410</f>
        <v>74578.8</v>
      </c>
      <c r="H409" s="119">
        <f t="shared" ref="H409:I409" si="139">H410</f>
        <v>77712.7</v>
      </c>
      <c r="I409" s="119">
        <f t="shared" si="139"/>
        <v>80967.899999999994</v>
      </c>
      <c r="J409" s="163"/>
      <c r="K409" s="163"/>
      <c r="L409" s="163"/>
      <c r="M409" s="68"/>
      <c r="N409" s="68"/>
      <c r="O409" s="68"/>
      <c r="P409" s="68"/>
      <c r="Q409" s="68"/>
      <c r="R409" s="68"/>
      <c r="S409" s="68"/>
      <c r="T409" s="68"/>
    </row>
    <row r="410" spans="1:20" s="88" customFormat="1" ht="38.25" x14ac:dyDescent="0.25">
      <c r="A410" s="24" t="s">
        <v>454</v>
      </c>
      <c r="B410" s="53">
        <v>906</v>
      </c>
      <c r="C410" s="48" t="s">
        <v>32</v>
      </c>
      <c r="D410" s="48" t="s">
        <v>26</v>
      </c>
      <c r="E410" s="48" t="s">
        <v>455</v>
      </c>
      <c r="F410" s="48"/>
      <c r="G410" s="119">
        <f t="shared" ref="G410:I411" si="140">G411</f>
        <v>74578.8</v>
      </c>
      <c r="H410" s="119">
        <f t="shared" si="140"/>
        <v>77712.7</v>
      </c>
      <c r="I410" s="119">
        <f t="shared" si="140"/>
        <v>80967.899999999994</v>
      </c>
      <c r="J410" s="163"/>
      <c r="K410" s="163"/>
      <c r="L410" s="163"/>
      <c r="M410" s="68"/>
      <c r="N410" s="68"/>
      <c r="O410" s="68"/>
      <c r="P410" s="68"/>
      <c r="Q410" s="68"/>
      <c r="R410" s="68"/>
      <c r="S410" s="68"/>
      <c r="T410" s="68"/>
    </row>
    <row r="411" spans="1:20" s="88" customFormat="1" x14ac:dyDescent="0.25">
      <c r="A411" s="24" t="s">
        <v>759</v>
      </c>
      <c r="B411" s="53">
        <v>906</v>
      </c>
      <c r="C411" s="48" t="s">
        <v>32</v>
      </c>
      <c r="D411" s="48" t="s">
        <v>26</v>
      </c>
      <c r="E411" s="48" t="s">
        <v>456</v>
      </c>
      <c r="F411" s="48"/>
      <c r="G411" s="119">
        <f t="shared" si="140"/>
        <v>74578.8</v>
      </c>
      <c r="H411" s="119">
        <f t="shared" si="140"/>
        <v>77712.7</v>
      </c>
      <c r="I411" s="119">
        <f t="shared" si="140"/>
        <v>80967.899999999994</v>
      </c>
      <c r="J411" s="163"/>
      <c r="K411" s="163"/>
      <c r="L411" s="163"/>
      <c r="M411" s="68"/>
      <c r="N411" s="68"/>
      <c r="O411" s="68"/>
      <c r="P411" s="68"/>
      <c r="Q411" s="68"/>
      <c r="R411" s="68"/>
      <c r="S411" s="68"/>
      <c r="T411" s="68"/>
    </row>
    <row r="412" spans="1:20" s="88" customFormat="1" ht="25.5" x14ac:dyDescent="0.25">
      <c r="A412" s="24" t="s">
        <v>794</v>
      </c>
      <c r="B412" s="53">
        <v>906</v>
      </c>
      <c r="C412" s="48" t="s">
        <v>32</v>
      </c>
      <c r="D412" s="48" t="s">
        <v>26</v>
      </c>
      <c r="E412" s="48" t="s">
        <v>459</v>
      </c>
      <c r="F412" s="48"/>
      <c r="G412" s="119">
        <f>G413+G424</f>
        <v>74578.8</v>
      </c>
      <c r="H412" s="119">
        <f>H413+H424</f>
        <v>77712.7</v>
      </c>
      <c r="I412" s="119">
        <f>I413+I424</f>
        <v>80967.899999999994</v>
      </c>
      <c r="J412" s="163"/>
      <c r="K412" s="163"/>
      <c r="L412" s="163"/>
      <c r="M412" s="68"/>
      <c r="N412" s="68"/>
      <c r="O412" s="68"/>
      <c r="P412" s="68"/>
      <c r="Q412" s="68"/>
      <c r="R412" s="68"/>
      <c r="S412" s="68"/>
      <c r="T412" s="68"/>
    </row>
    <row r="413" spans="1:20" s="88" customFormat="1" ht="25.5" x14ac:dyDescent="0.25">
      <c r="A413" s="24" t="s">
        <v>242</v>
      </c>
      <c r="B413" s="53">
        <v>906</v>
      </c>
      <c r="C413" s="48" t="s">
        <v>32</v>
      </c>
      <c r="D413" s="48" t="s">
        <v>26</v>
      </c>
      <c r="E413" s="48" t="s">
        <v>460</v>
      </c>
      <c r="F413" s="48"/>
      <c r="G413" s="119">
        <f>G414+G416+G418+G422+G420</f>
        <v>72060.800000000003</v>
      </c>
      <c r="H413" s="119">
        <f t="shared" ref="H413:I413" si="141">H414+H416+H418+H422+H420</f>
        <v>75194.7</v>
      </c>
      <c r="I413" s="119">
        <f t="shared" si="141"/>
        <v>78449.899999999994</v>
      </c>
      <c r="J413" s="163"/>
      <c r="K413" s="163"/>
      <c r="L413" s="163"/>
      <c r="M413" s="68"/>
      <c r="N413" s="68"/>
      <c r="O413" s="68"/>
      <c r="P413" s="68"/>
      <c r="Q413" s="68"/>
      <c r="R413" s="68"/>
      <c r="S413" s="68"/>
      <c r="T413" s="68"/>
    </row>
    <row r="414" spans="1:20" s="88" customFormat="1" ht="38.25" x14ac:dyDescent="0.25">
      <c r="A414" s="24" t="s">
        <v>354</v>
      </c>
      <c r="B414" s="53">
        <v>906</v>
      </c>
      <c r="C414" s="48" t="s">
        <v>32</v>
      </c>
      <c r="D414" s="48" t="s">
        <v>26</v>
      </c>
      <c r="E414" s="48" t="s">
        <v>461</v>
      </c>
      <c r="F414" s="48"/>
      <c r="G414" s="119">
        <f>G415</f>
        <v>63454.400000000001</v>
      </c>
      <c r="H414" s="119">
        <f>H415</f>
        <v>66611.5</v>
      </c>
      <c r="I414" s="119">
        <f>I415</f>
        <v>69807.3</v>
      </c>
      <c r="J414" s="163"/>
      <c r="K414" s="163"/>
      <c r="L414" s="163"/>
      <c r="M414" s="68"/>
      <c r="N414" s="68"/>
      <c r="O414" s="68"/>
      <c r="P414" s="68"/>
      <c r="Q414" s="68"/>
      <c r="R414" s="68"/>
      <c r="S414" s="68"/>
      <c r="T414" s="68"/>
    </row>
    <row r="415" spans="1:20" s="88" customFormat="1" ht="25.5" x14ac:dyDescent="0.25">
      <c r="A415" s="24" t="s">
        <v>64</v>
      </c>
      <c r="B415" s="53">
        <v>906</v>
      </c>
      <c r="C415" s="48" t="s">
        <v>32</v>
      </c>
      <c r="D415" s="48" t="s">
        <v>26</v>
      </c>
      <c r="E415" s="48" t="s">
        <v>461</v>
      </c>
      <c r="F415" s="48" t="s">
        <v>65</v>
      </c>
      <c r="G415" s="119">
        <v>63454.400000000001</v>
      </c>
      <c r="H415" s="119">
        <v>66611.5</v>
      </c>
      <c r="I415" s="119">
        <v>69807.3</v>
      </c>
      <c r="J415" s="163"/>
      <c r="K415" s="163"/>
      <c r="L415" s="163"/>
      <c r="M415" s="68"/>
      <c r="N415" s="68"/>
      <c r="O415" s="68"/>
      <c r="P415" s="68"/>
      <c r="Q415" s="68"/>
      <c r="R415" s="68"/>
      <c r="S415" s="68"/>
      <c r="T415" s="68"/>
    </row>
    <row r="416" spans="1:20" s="88" customFormat="1" ht="25.5" x14ac:dyDescent="0.25">
      <c r="A416" s="24" t="s">
        <v>353</v>
      </c>
      <c r="B416" s="53">
        <v>906</v>
      </c>
      <c r="C416" s="48" t="s">
        <v>32</v>
      </c>
      <c r="D416" s="48" t="s">
        <v>26</v>
      </c>
      <c r="E416" s="48" t="s">
        <v>462</v>
      </c>
      <c r="F416" s="48"/>
      <c r="G416" s="119">
        <f>G417</f>
        <v>1415.6</v>
      </c>
      <c r="H416" s="119">
        <f>H417</f>
        <v>1472.8</v>
      </c>
      <c r="I416" s="119">
        <f>I417</f>
        <v>1532.2</v>
      </c>
      <c r="J416" s="163"/>
      <c r="K416" s="163"/>
      <c r="L416" s="163"/>
      <c r="M416" s="68"/>
      <c r="N416" s="68"/>
      <c r="O416" s="68"/>
      <c r="P416" s="68"/>
      <c r="Q416" s="68"/>
      <c r="R416" s="68"/>
      <c r="S416" s="68"/>
      <c r="T416" s="68"/>
    </row>
    <row r="417" spans="1:20" s="88" customFormat="1" ht="25.5" x14ac:dyDescent="0.25">
      <c r="A417" s="24" t="s">
        <v>64</v>
      </c>
      <c r="B417" s="53">
        <v>906</v>
      </c>
      <c r="C417" s="48" t="s">
        <v>32</v>
      </c>
      <c r="D417" s="48" t="s">
        <v>26</v>
      </c>
      <c r="E417" s="48" t="s">
        <v>462</v>
      </c>
      <c r="F417" s="48" t="s">
        <v>65</v>
      </c>
      <c r="G417" s="119">
        <v>1415.6</v>
      </c>
      <c r="H417" s="119">
        <v>1472.8</v>
      </c>
      <c r="I417" s="119">
        <v>1532.2</v>
      </c>
      <c r="J417" s="163"/>
      <c r="K417" s="163"/>
      <c r="L417" s="163"/>
      <c r="M417" s="68"/>
      <c r="N417" s="68"/>
      <c r="O417" s="68"/>
      <c r="P417" s="68"/>
      <c r="Q417" s="68"/>
      <c r="R417" s="68"/>
      <c r="S417" s="68"/>
      <c r="T417" s="68"/>
    </row>
    <row r="418" spans="1:20" s="88" customFormat="1" ht="25.5" x14ac:dyDescent="0.25">
      <c r="A418" s="24" t="s">
        <v>356</v>
      </c>
      <c r="B418" s="53">
        <v>906</v>
      </c>
      <c r="C418" s="48" t="s">
        <v>32</v>
      </c>
      <c r="D418" s="48" t="s">
        <v>26</v>
      </c>
      <c r="E418" s="48" t="s">
        <v>463</v>
      </c>
      <c r="F418" s="48"/>
      <c r="G418" s="119">
        <f>G419</f>
        <v>16.899999999999999</v>
      </c>
      <c r="H418" s="119">
        <f>H419</f>
        <v>16.899999999999999</v>
      </c>
      <c r="I418" s="119">
        <f>I419</f>
        <v>16.899999999999999</v>
      </c>
      <c r="J418" s="163"/>
      <c r="K418" s="163"/>
      <c r="L418" s="163"/>
      <c r="M418" s="68"/>
      <c r="N418" s="68"/>
      <c r="O418" s="68"/>
      <c r="P418" s="68"/>
      <c r="Q418" s="68"/>
      <c r="R418" s="68"/>
      <c r="S418" s="68"/>
      <c r="T418" s="68"/>
    </row>
    <row r="419" spans="1:20" s="88" customFormat="1" ht="25.5" x14ac:dyDescent="0.25">
      <c r="A419" s="24" t="s">
        <v>64</v>
      </c>
      <c r="B419" s="53">
        <v>906</v>
      </c>
      <c r="C419" s="48" t="s">
        <v>32</v>
      </c>
      <c r="D419" s="48" t="s">
        <v>26</v>
      </c>
      <c r="E419" s="48" t="s">
        <v>463</v>
      </c>
      <c r="F419" s="48" t="s">
        <v>65</v>
      </c>
      <c r="G419" s="119">
        <v>16.899999999999999</v>
      </c>
      <c r="H419" s="119">
        <v>16.899999999999999</v>
      </c>
      <c r="I419" s="119">
        <v>16.899999999999999</v>
      </c>
      <c r="J419" s="163"/>
      <c r="K419" s="163"/>
      <c r="L419" s="163"/>
      <c r="M419" s="68"/>
      <c r="N419" s="68"/>
      <c r="O419" s="68"/>
      <c r="P419" s="68"/>
      <c r="Q419" s="68"/>
      <c r="R419" s="68"/>
      <c r="S419" s="68"/>
      <c r="T419" s="68"/>
    </row>
    <row r="420" spans="1:20" s="88" customFormat="1" ht="25.5" x14ac:dyDescent="0.25">
      <c r="A420" s="24" t="s">
        <v>698</v>
      </c>
      <c r="B420" s="53">
        <v>906</v>
      </c>
      <c r="C420" s="48" t="s">
        <v>32</v>
      </c>
      <c r="D420" s="48" t="s">
        <v>26</v>
      </c>
      <c r="E420" s="48" t="s">
        <v>880</v>
      </c>
      <c r="F420" s="48"/>
      <c r="G420" s="119">
        <f>G421</f>
        <v>1533</v>
      </c>
      <c r="H420" s="119">
        <f t="shared" ref="H420:I420" si="142">H421</f>
        <v>1533</v>
      </c>
      <c r="I420" s="119">
        <f t="shared" si="142"/>
        <v>1533</v>
      </c>
      <c r="J420" s="163"/>
      <c r="K420" s="163"/>
      <c r="L420" s="163"/>
      <c r="M420" s="68"/>
      <c r="N420" s="68"/>
      <c r="O420" s="68"/>
      <c r="P420" s="68"/>
      <c r="Q420" s="68"/>
      <c r="R420" s="68"/>
      <c r="S420" s="68"/>
      <c r="T420" s="68"/>
    </row>
    <row r="421" spans="1:20" s="88" customFormat="1" ht="25.5" x14ac:dyDescent="0.25">
      <c r="A421" s="24" t="s">
        <v>64</v>
      </c>
      <c r="B421" s="53">
        <v>906</v>
      </c>
      <c r="C421" s="48" t="s">
        <v>32</v>
      </c>
      <c r="D421" s="48" t="s">
        <v>26</v>
      </c>
      <c r="E421" s="48" t="s">
        <v>880</v>
      </c>
      <c r="F421" s="48" t="s">
        <v>65</v>
      </c>
      <c r="G421" s="119">
        <v>1533</v>
      </c>
      <c r="H421" s="119">
        <v>1533</v>
      </c>
      <c r="I421" s="119">
        <v>1533</v>
      </c>
      <c r="J421" s="163"/>
      <c r="K421" s="163"/>
      <c r="L421" s="163"/>
      <c r="M421" s="68"/>
      <c r="N421" s="68"/>
      <c r="O421" s="68"/>
      <c r="P421" s="68"/>
      <c r="Q421" s="68"/>
      <c r="R421" s="68"/>
      <c r="S421" s="68"/>
      <c r="T421" s="68"/>
    </row>
    <row r="422" spans="1:20" s="88" customFormat="1" ht="25.5" x14ac:dyDescent="0.25">
      <c r="A422" s="24" t="s">
        <v>357</v>
      </c>
      <c r="B422" s="53">
        <v>906</v>
      </c>
      <c r="C422" s="48" t="s">
        <v>32</v>
      </c>
      <c r="D422" s="48" t="s">
        <v>26</v>
      </c>
      <c r="E422" s="48" t="s">
        <v>464</v>
      </c>
      <c r="F422" s="48"/>
      <c r="G422" s="119">
        <f>G423</f>
        <v>5640.9</v>
      </c>
      <c r="H422" s="119">
        <f>H423</f>
        <v>5560.5</v>
      </c>
      <c r="I422" s="119">
        <f>I423</f>
        <v>5560.5</v>
      </c>
      <c r="J422" s="163"/>
      <c r="K422" s="163"/>
      <c r="L422" s="163"/>
      <c r="M422" s="68"/>
      <c r="N422" s="68"/>
      <c r="O422" s="68"/>
      <c r="P422" s="68"/>
      <c r="Q422" s="68"/>
      <c r="R422" s="68"/>
      <c r="S422" s="68"/>
      <c r="T422" s="68"/>
    </row>
    <row r="423" spans="1:20" s="88" customFormat="1" ht="25.5" x14ac:dyDescent="0.25">
      <c r="A423" s="24" t="s">
        <v>64</v>
      </c>
      <c r="B423" s="53">
        <v>906</v>
      </c>
      <c r="C423" s="48" t="s">
        <v>32</v>
      </c>
      <c r="D423" s="48" t="s">
        <v>26</v>
      </c>
      <c r="E423" s="48" t="s">
        <v>464</v>
      </c>
      <c r="F423" s="48" t="s">
        <v>65</v>
      </c>
      <c r="G423" s="119">
        <v>5640.9</v>
      </c>
      <c r="H423" s="119">
        <v>5560.5</v>
      </c>
      <c r="I423" s="119">
        <v>5560.5</v>
      </c>
      <c r="J423" s="163"/>
      <c r="K423" s="163"/>
      <c r="L423" s="163"/>
      <c r="M423" s="68"/>
      <c r="N423" s="68"/>
      <c r="O423" s="68"/>
      <c r="P423" s="68"/>
      <c r="Q423" s="68"/>
      <c r="R423" s="68"/>
      <c r="S423" s="68"/>
      <c r="T423" s="68"/>
    </row>
    <row r="424" spans="1:20" s="88" customFormat="1" ht="25.5" x14ac:dyDescent="0.25">
      <c r="A424" s="24" t="s">
        <v>358</v>
      </c>
      <c r="B424" s="53">
        <v>906</v>
      </c>
      <c r="C424" s="48" t="s">
        <v>32</v>
      </c>
      <c r="D424" s="48" t="s">
        <v>26</v>
      </c>
      <c r="E424" s="48" t="s">
        <v>465</v>
      </c>
      <c r="F424" s="48"/>
      <c r="G424" s="119">
        <f>G425</f>
        <v>2518</v>
      </c>
      <c r="H424" s="119">
        <f>H425</f>
        <v>2518</v>
      </c>
      <c r="I424" s="119">
        <f>I425</f>
        <v>2518</v>
      </c>
      <c r="J424" s="163"/>
      <c r="K424" s="163"/>
      <c r="L424" s="163"/>
      <c r="M424" s="68"/>
      <c r="N424" s="68"/>
      <c r="O424" s="68"/>
      <c r="P424" s="68"/>
      <c r="Q424" s="68"/>
      <c r="R424" s="68"/>
      <c r="S424" s="68"/>
      <c r="T424" s="68"/>
    </row>
    <row r="425" spans="1:20" s="88" customFormat="1" ht="25.5" x14ac:dyDescent="0.25">
      <c r="A425" s="24" t="s">
        <v>64</v>
      </c>
      <c r="B425" s="53">
        <v>906</v>
      </c>
      <c r="C425" s="48" t="s">
        <v>32</v>
      </c>
      <c r="D425" s="48" t="s">
        <v>26</v>
      </c>
      <c r="E425" s="48" t="s">
        <v>465</v>
      </c>
      <c r="F425" s="48" t="s">
        <v>65</v>
      </c>
      <c r="G425" s="119">
        <v>2518</v>
      </c>
      <c r="H425" s="119">
        <v>2518</v>
      </c>
      <c r="I425" s="119">
        <v>2518</v>
      </c>
      <c r="J425" s="163"/>
      <c r="K425" s="163"/>
      <c r="L425" s="163"/>
      <c r="M425" s="68"/>
      <c r="N425" s="68"/>
      <c r="O425" s="68"/>
      <c r="P425" s="68"/>
      <c r="Q425" s="68"/>
      <c r="R425" s="68"/>
      <c r="S425" s="68"/>
      <c r="T425" s="68"/>
    </row>
    <row r="426" spans="1:20" s="82" customFormat="1" x14ac:dyDescent="0.25">
      <c r="A426" s="14" t="s">
        <v>57</v>
      </c>
      <c r="B426" s="53">
        <v>906</v>
      </c>
      <c r="C426" s="48" t="s">
        <v>32</v>
      </c>
      <c r="D426" s="48" t="s">
        <v>27</v>
      </c>
      <c r="E426" s="48"/>
      <c r="F426" s="48"/>
      <c r="G426" s="119">
        <f>G427+G445</f>
        <v>20434.3</v>
      </c>
      <c r="H426" s="119">
        <f>H427+H445</f>
        <v>21124</v>
      </c>
      <c r="I426" s="119">
        <f>I427+I445</f>
        <v>21841.4</v>
      </c>
      <c r="J426" s="239"/>
      <c r="K426" s="239"/>
      <c r="L426" s="239"/>
      <c r="M426" s="239"/>
      <c r="N426" s="239"/>
      <c r="O426" s="239"/>
      <c r="P426" s="239"/>
      <c r="Q426" s="239"/>
      <c r="R426" s="239"/>
      <c r="S426" s="239"/>
      <c r="T426" s="239"/>
    </row>
    <row r="427" spans="1:20" s="82" customFormat="1" ht="38.25" x14ac:dyDescent="0.25">
      <c r="A427" s="24" t="s">
        <v>454</v>
      </c>
      <c r="B427" s="53">
        <v>906</v>
      </c>
      <c r="C427" s="48" t="s">
        <v>32</v>
      </c>
      <c r="D427" s="48" t="s">
        <v>27</v>
      </c>
      <c r="E427" s="48" t="s">
        <v>455</v>
      </c>
      <c r="F427" s="48"/>
      <c r="G427" s="119">
        <f t="shared" ref="G427:I427" si="143">G428</f>
        <v>20404.3</v>
      </c>
      <c r="H427" s="119">
        <f t="shared" si="143"/>
        <v>21092.799999999999</v>
      </c>
      <c r="I427" s="119">
        <f t="shared" si="143"/>
        <v>21809</v>
      </c>
      <c r="J427" s="239"/>
      <c r="K427" s="239"/>
      <c r="L427" s="239"/>
      <c r="M427" s="239"/>
      <c r="N427" s="239"/>
      <c r="O427" s="239"/>
      <c r="P427" s="239"/>
      <c r="Q427" s="239"/>
      <c r="R427" s="239"/>
      <c r="S427" s="239"/>
      <c r="T427" s="239"/>
    </row>
    <row r="428" spans="1:20" s="82" customFormat="1" x14ac:dyDescent="0.25">
      <c r="A428" s="24" t="s">
        <v>759</v>
      </c>
      <c r="B428" s="53">
        <v>906</v>
      </c>
      <c r="C428" s="48" t="s">
        <v>32</v>
      </c>
      <c r="D428" s="48" t="s">
        <v>27</v>
      </c>
      <c r="E428" s="48" t="s">
        <v>456</v>
      </c>
      <c r="F428" s="48"/>
      <c r="G428" s="119">
        <f>G429+G435+G441</f>
        <v>20404.3</v>
      </c>
      <c r="H428" s="119">
        <f>H429+H435+H441</f>
        <v>21092.799999999999</v>
      </c>
      <c r="I428" s="119">
        <f>I429+I435+I441</f>
        <v>21809</v>
      </c>
      <c r="J428" s="239"/>
      <c r="K428" s="239"/>
      <c r="L428" s="239"/>
      <c r="M428" s="239"/>
      <c r="N428" s="239"/>
      <c r="O428" s="239"/>
      <c r="P428" s="239"/>
      <c r="Q428" s="239"/>
      <c r="R428" s="239"/>
      <c r="S428" s="239"/>
      <c r="T428" s="239"/>
    </row>
    <row r="429" spans="1:20" s="82" customFormat="1" ht="25.5" x14ac:dyDescent="0.25">
      <c r="A429" s="24" t="s">
        <v>795</v>
      </c>
      <c r="B429" s="53">
        <v>906</v>
      </c>
      <c r="C429" s="48" t="s">
        <v>32</v>
      </c>
      <c r="D429" s="48" t="s">
        <v>27</v>
      </c>
      <c r="E429" s="48" t="s">
        <v>457</v>
      </c>
      <c r="F429" s="48"/>
      <c r="G429" s="119">
        <f>G430+G433</f>
        <v>2775</v>
      </c>
      <c r="H429" s="119">
        <f t="shared" ref="H429:I429" si="144">H430+H433</f>
        <v>2775</v>
      </c>
      <c r="I429" s="119">
        <f t="shared" si="144"/>
        <v>2775</v>
      </c>
      <c r="J429" s="239"/>
      <c r="K429" s="239"/>
      <c r="L429" s="239"/>
      <c r="M429" s="239"/>
      <c r="N429" s="239"/>
      <c r="O429" s="239"/>
      <c r="P429" s="239"/>
      <c r="Q429" s="239"/>
      <c r="R429" s="239"/>
      <c r="S429" s="239"/>
      <c r="T429" s="239"/>
    </row>
    <row r="430" spans="1:20" s="82" customFormat="1" ht="25.5" x14ac:dyDescent="0.25">
      <c r="A430" s="24" t="s">
        <v>60</v>
      </c>
      <c r="B430" s="53">
        <v>906</v>
      </c>
      <c r="C430" s="48" t="s">
        <v>32</v>
      </c>
      <c r="D430" s="48" t="s">
        <v>27</v>
      </c>
      <c r="E430" s="48" t="s">
        <v>458</v>
      </c>
      <c r="F430" s="48"/>
      <c r="G430" s="119">
        <f>G431+G432</f>
        <v>2300</v>
      </c>
      <c r="H430" s="119">
        <f>H431+H432</f>
        <v>2300</v>
      </c>
      <c r="I430" s="119">
        <f>I431+I432</f>
        <v>2300</v>
      </c>
      <c r="J430" s="239"/>
      <c r="K430" s="239"/>
      <c r="L430" s="239"/>
      <c r="M430" s="239"/>
      <c r="N430" s="239"/>
      <c r="O430" s="239"/>
      <c r="P430" s="239"/>
      <c r="Q430" s="239"/>
      <c r="R430" s="239"/>
      <c r="S430" s="239"/>
      <c r="T430" s="239"/>
    </row>
    <row r="431" spans="1:20" s="82" customFormat="1" ht="38.25" x14ac:dyDescent="0.25">
      <c r="A431" s="24" t="s">
        <v>225</v>
      </c>
      <c r="B431" s="53">
        <v>906</v>
      </c>
      <c r="C431" s="48" t="s">
        <v>32</v>
      </c>
      <c r="D431" s="48" t="s">
        <v>27</v>
      </c>
      <c r="E431" s="48" t="s">
        <v>458</v>
      </c>
      <c r="F431" s="48" t="s">
        <v>66</v>
      </c>
      <c r="G431" s="119">
        <v>500</v>
      </c>
      <c r="H431" s="119">
        <v>500</v>
      </c>
      <c r="I431" s="119">
        <v>500</v>
      </c>
      <c r="J431" s="239"/>
      <c r="K431" s="239"/>
      <c r="L431" s="239"/>
      <c r="M431" s="239"/>
      <c r="N431" s="239"/>
      <c r="O431" s="239"/>
      <c r="P431" s="239"/>
      <c r="Q431" s="239"/>
      <c r="R431" s="239"/>
      <c r="S431" s="239"/>
      <c r="T431" s="239"/>
    </row>
    <row r="432" spans="1:20" s="82" customFormat="1" ht="25.5" x14ac:dyDescent="0.25">
      <c r="A432" s="24" t="s">
        <v>226</v>
      </c>
      <c r="B432" s="53">
        <v>906</v>
      </c>
      <c r="C432" s="48" t="s">
        <v>32</v>
      </c>
      <c r="D432" s="48" t="s">
        <v>27</v>
      </c>
      <c r="E432" s="48" t="s">
        <v>458</v>
      </c>
      <c r="F432" s="48" t="s">
        <v>59</v>
      </c>
      <c r="G432" s="119">
        <v>1800</v>
      </c>
      <c r="H432" s="119">
        <v>1800</v>
      </c>
      <c r="I432" s="119">
        <v>1800</v>
      </c>
      <c r="J432" s="239"/>
      <c r="K432" s="239"/>
      <c r="L432" s="239"/>
      <c r="M432" s="239"/>
      <c r="N432" s="239"/>
      <c r="O432" s="239"/>
      <c r="P432" s="239"/>
      <c r="Q432" s="239"/>
      <c r="R432" s="239"/>
      <c r="S432" s="239"/>
      <c r="T432" s="239"/>
    </row>
    <row r="433" spans="1:20" s="82" customFormat="1" x14ac:dyDescent="0.25">
      <c r="A433" s="24" t="s">
        <v>633</v>
      </c>
      <c r="B433" s="53">
        <v>906</v>
      </c>
      <c r="C433" s="48" t="s">
        <v>32</v>
      </c>
      <c r="D433" s="48" t="s">
        <v>27</v>
      </c>
      <c r="E433" s="48" t="s">
        <v>634</v>
      </c>
      <c r="F433" s="48"/>
      <c r="G433" s="119">
        <f>G434</f>
        <v>475</v>
      </c>
      <c r="H433" s="119">
        <f t="shared" ref="H433:I433" si="145">H434</f>
        <v>475</v>
      </c>
      <c r="I433" s="119">
        <f t="shared" si="145"/>
        <v>475</v>
      </c>
      <c r="J433" s="239"/>
      <c r="K433" s="239"/>
      <c r="L433" s="239"/>
      <c r="M433" s="239"/>
      <c r="N433" s="239"/>
      <c r="O433" s="239"/>
      <c r="P433" s="239"/>
      <c r="Q433" s="239"/>
      <c r="R433" s="239"/>
      <c r="S433" s="239"/>
      <c r="T433" s="239"/>
    </row>
    <row r="434" spans="1:20" s="82" customFormat="1" ht="25.5" x14ac:dyDescent="0.25">
      <c r="A434" s="24" t="s">
        <v>226</v>
      </c>
      <c r="B434" s="53">
        <v>906</v>
      </c>
      <c r="C434" s="48" t="s">
        <v>32</v>
      </c>
      <c r="D434" s="48" t="s">
        <v>27</v>
      </c>
      <c r="E434" s="48" t="s">
        <v>634</v>
      </c>
      <c r="F434" s="48" t="s">
        <v>59</v>
      </c>
      <c r="G434" s="119">
        <v>475</v>
      </c>
      <c r="H434" s="119">
        <v>475</v>
      </c>
      <c r="I434" s="119">
        <v>475</v>
      </c>
      <c r="J434" s="239"/>
      <c r="K434" s="239"/>
      <c r="L434" s="239"/>
      <c r="M434" s="239"/>
      <c r="N434" s="239"/>
      <c r="O434" s="239"/>
      <c r="P434" s="239"/>
      <c r="Q434" s="239"/>
      <c r="R434" s="239"/>
      <c r="S434" s="239"/>
      <c r="T434" s="239"/>
    </row>
    <row r="435" spans="1:20" s="82" customFormat="1" ht="25.5" x14ac:dyDescent="0.25">
      <c r="A435" s="24" t="s">
        <v>796</v>
      </c>
      <c r="B435" s="53">
        <v>906</v>
      </c>
      <c r="C435" s="48" t="s">
        <v>32</v>
      </c>
      <c r="D435" s="48" t="s">
        <v>27</v>
      </c>
      <c r="E435" s="48" t="s">
        <v>466</v>
      </c>
      <c r="F435" s="48"/>
      <c r="G435" s="119">
        <f>G436</f>
        <v>17179.3</v>
      </c>
      <c r="H435" s="119">
        <f>H436</f>
        <v>17867.8</v>
      </c>
      <c r="I435" s="119">
        <f>I436</f>
        <v>18584</v>
      </c>
      <c r="J435" s="239"/>
      <c r="K435" s="239"/>
      <c r="L435" s="239"/>
      <c r="M435" s="239"/>
      <c r="N435" s="239"/>
      <c r="O435" s="239"/>
      <c r="P435" s="239"/>
      <c r="Q435" s="239"/>
      <c r="R435" s="239"/>
      <c r="S435" s="239"/>
      <c r="T435" s="239"/>
    </row>
    <row r="436" spans="1:20" s="82" customFormat="1" ht="25.5" x14ac:dyDescent="0.25">
      <c r="A436" s="24" t="s">
        <v>242</v>
      </c>
      <c r="B436" s="53">
        <v>906</v>
      </c>
      <c r="C436" s="48" t="s">
        <v>32</v>
      </c>
      <c r="D436" s="48" t="s">
        <v>27</v>
      </c>
      <c r="E436" s="48" t="s">
        <v>467</v>
      </c>
      <c r="F436" s="48"/>
      <c r="G436" s="119">
        <f>G437+G439</f>
        <v>17179.3</v>
      </c>
      <c r="H436" s="119">
        <f t="shared" ref="H436:I436" si="146">H437+H439</f>
        <v>17867.8</v>
      </c>
      <c r="I436" s="119">
        <f t="shared" si="146"/>
        <v>18584</v>
      </c>
      <c r="J436" s="239"/>
      <c r="K436" s="239"/>
      <c r="L436" s="239"/>
      <c r="M436" s="239"/>
      <c r="N436" s="239"/>
      <c r="O436" s="239"/>
      <c r="P436" s="239"/>
      <c r="Q436" s="239"/>
      <c r="R436" s="239"/>
      <c r="S436" s="239"/>
      <c r="T436" s="239"/>
    </row>
    <row r="437" spans="1:20" s="82" customFormat="1" ht="38.25" x14ac:dyDescent="0.25">
      <c r="A437" s="24" t="s">
        <v>354</v>
      </c>
      <c r="B437" s="53">
        <v>906</v>
      </c>
      <c r="C437" s="48" t="s">
        <v>32</v>
      </c>
      <c r="D437" s="48" t="s">
        <v>27</v>
      </c>
      <c r="E437" s="48" t="s">
        <v>468</v>
      </c>
      <c r="F437" s="48"/>
      <c r="G437" s="119">
        <f>G438</f>
        <v>13711.7</v>
      </c>
      <c r="H437" s="119">
        <f>H438</f>
        <v>14260.2</v>
      </c>
      <c r="I437" s="119">
        <f>I438</f>
        <v>14830.6</v>
      </c>
      <c r="J437" s="239"/>
      <c r="K437" s="239"/>
      <c r="L437" s="239"/>
      <c r="M437" s="239"/>
      <c r="N437" s="239"/>
      <c r="O437" s="239"/>
      <c r="P437" s="239"/>
      <c r="Q437" s="239"/>
      <c r="R437" s="239"/>
      <c r="S437" s="239"/>
      <c r="T437" s="239"/>
    </row>
    <row r="438" spans="1:20" s="82" customFormat="1" ht="25.5" x14ac:dyDescent="0.25">
      <c r="A438" s="24" t="s">
        <v>64</v>
      </c>
      <c r="B438" s="53">
        <v>906</v>
      </c>
      <c r="C438" s="48" t="s">
        <v>32</v>
      </c>
      <c r="D438" s="48" t="s">
        <v>27</v>
      </c>
      <c r="E438" s="48" t="s">
        <v>468</v>
      </c>
      <c r="F438" s="48" t="s">
        <v>65</v>
      </c>
      <c r="G438" s="119">
        <v>13711.7</v>
      </c>
      <c r="H438" s="119">
        <v>14260.2</v>
      </c>
      <c r="I438" s="119">
        <v>14830.6</v>
      </c>
      <c r="J438" s="239"/>
      <c r="K438" s="239"/>
      <c r="L438" s="239"/>
      <c r="M438" s="239"/>
      <c r="N438" s="239"/>
      <c r="O438" s="239"/>
      <c r="P438" s="239"/>
      <c r="Q438" s="239"/>
      <c r="R438" s="239"/>
      <c r="S438" s="239"/>
      <c r="T438" s="239"/>
    </row>
    <row r="439" spans="1:20" s="82" customFormat="1" ht="25.5" x14ac:dyDescent="0.25">
      <c r="A439" s="24" t="s">
        <v>353</v>
      </c>
      <c r="B439" s="53">
        <v>906</v>
      </c>
      <c r="C439" s="48" t="s">
        <v>32</v>
      </c>
      <c r="D439" s="48" t="s">
        <v>27</v>
      </c>
      <c r="E439" s="48" t="s">
        <v>469</v>
      </c>
      <c r="F439" s="48"/>
      <c r="G439" s="119">
        <f>G440</f>
        <v>3467.6</v>
      </c>
      <c r="H439" s="119">
        <f>H440</f>
        <v>3607.6</v>
      </c>
      <c r="I439" s="119">
        <f>I440</f>
        <v>3753.4</v>
      </c>
      <c r="J439" s="239"/>
      <c r="K439" s="239"/>
      <c r="L439" s="239"/>
      <c r="M439" s="239"/>
      <c r="N439" s="239"/>
      <c r="O439" s="239"/>
      <c r="P439" s="239"/>
      <c r="Q439" s="239"/>
      <c r="R439" s="239"/>
      <c r="S439" s="239"/>
      <c r="T439" s="239"/>
    </row>
    <row r="440" spans="1:20" s="82" customFormat="1" ht="25.5" x14ac:dyDescent="0.25">
      <c r="A440" s="24" t="s">
        <v>64</v>
      </c>
      <c r="B440" s="53">
        <v>906</v>
      </c>
      <c r="C440" s="48" t="s">
        <v>32</v>
      </c>
      <c r="D440" s="48" t="s">
        <v>27</v>
      </c>
      <c r="E440" s="48" t="s">
        <v>469</v>
      </c>
      <c r="F440" s="48" t="s">
        <v>65</v>
      </c>
      <c r="G440" s="119">
        <v>3467.6</v>
      </c>
      <c r="H440" s="119">
        <v>3607.6</v>
      </c>
      <c r="I440" s="119">
        <v>3753.4</v>
      </c>
      <c r="J440" s="239"/>
      <c r="K440" s="239"/>
      <c r="L440" s="239"/>
      <c r="M440" s="239"/>
      <c r="N440" s="239"/>
      <c r="O440" s="239"/>
      <c r="P440" s="239"/>
      <c r="Q440" s="239"/>
      <c r="R440" s="239"/>
      <c r="S440" s="239"/>
      <c r="T440" s="239"/>
    </row>
    <row r="441" spans="1:20" s="82" customFormat="1" ht="25.5" x14ac:dyDescent="0.25">
      <c r="A441" s="24" t="s">
        <v>797</v>
      </c>
      <c r="B441" s="53">
        <v>906</v>
      </c>
      <c r="C441" s="48" t="s">
        <v>32</v>
      </c>
      <c r="D441" s="48" t="s">
        <v>27</v>
      </c>
      <c r="E441" s="48" t="s">
        <v>470</v>
      </c>
      <c r="F441" s="48"/>
      <c r="G441" s="119">
        <f t="shared" ref="G441:I443" si="147">G442</f>
        <v>450</v>
      </c>
      <c r="H441" s="119">
        <f t="shared" si="147"/>
        <v>450</v>
      </c>
      <c r="I441" s="119">
        <f t="shared" si="147"/>
        <v>450</v>
      </c>
      <c r="J441" s="239"/>
      <c r="K441" s="239"/>
      <c r="L441" s="239"/>
      <c r="M441" s="239"/>
      <c r="N441" s="239"/>
      <c r="O441" s="239"/>
      <c r="P441" s="239"/>
      <c r="Q441" s="239"/>
      <c r="R441" s="239"/>
      <c r="S441" s="239"/>
      <c r="T441" s="239"/>
    </row>
    <row r="442" spans="1:20" s="82" customFormat="1" ht="25.5" x14ac:dyDescent="0.25">
      <c r="A442" s="24" t="s">
        <v>242</v>
      </c>
      <c r="B442" s="53">
        <v>906</v>
      </c>
      <c r="C442" s="48" t="s">
        <v>32</v>
      </c>
      <c r="D442" s="48" t="s">
        <v>27</v>
      </c>
      <c r="E442" s="48" t="s">
        <v>471</v>
      </c>
      <c r="F442" s="48"/>
      <c r="G442" s="119">
        <f t="shared" si="147"/>
        <v>450</v>
      </c>
      <c r="H442" s="119">
        <f t="shared" si="147"/>
        <v>450</v>
      </c>
      <c r="I442" s="119">
        <f t="shared" si="147"/>
        <v>450</v>
      </c>
      <c r="J442" s="239"/>
      <c r="K442" s="239"/>
      <c r="L442" s="239"/>
      <c r="M442" s="239"/>
      <c r="N442" s="239"/>
      <c r="O442" s="239"/>
      <c r="P442" s="239"/>
      <c r="Q442" s="239"/>
      <c r="R442" s="239"/>
      <c r="S442" s="239"/>
      <c r="T442" s="239"/>
    </row>
    <row r="443" spans="1:20" s="82" customFormat="1" ht="38.25" x14ac:dyDescent="0.25">
      <c r="A443" s="24" t="s">
        <v>354</v>
      </c>
      <c r="B443" s="53">
        <v>906</v>
      </c>
      <c r="C443" s="48" t="s">
        <v>32</v>
      </c>
      <c r="D443" s="48" t="s">
        <v>27</v>
      </c>
      <c r="E443" s="48" t="s">
        <v>472</v>
      </c>
      <c r="F443" s="48"/>
      <c r="G443" s="119">
        <f t="shared" si="147"/>
        <v>450</v>
      </c>
      <c r="H443" s="119">
        <f t="shared" si="147"/>
        <v>450</v>
      </c>
      <c r="I443" s="119">
        <f t="shared" si="147"/>
        <v>450</v>
      </c>
      <c r="J443" s="239"/>
      <c r="K443" s="239"/>
      <c r="L443" s="239"/>
      <c r="M443" s="239"/>
      <c r="N443" s="239"/>
      <c r="O443" s="239"/>
      <c r="P443" s="239"/>
      <c r="Q443" s="239"/>
      <c r="R443" s="239"/>
      <c r="S443" s="239"/>
      <c r="T443" s="239"/>
    </row>
    <row r="444" spans="1:20" s="82" customFormat="1" ht="25.5" x14ac:dyDescent="0.25">
      <c r="A444" s="24" t="s">
        <v>64</v>
      </c>
      <c r="B444" s="53">
        <v>906</v>
      </c>
      <c r="C444" s="48" t="s">
        <v>32</v>
      </c>
      <c r="D444" s="48" t="s">
        <v>27</v>
      </c>
      <c r="E444" s="48" t="s">
        <v>472</v>
      </c>
      <c r="F444" s="48" t="s">
        <v>65</v>
      </c>
      <c r="G444" s="119">
        <v>450</v>
      </c>
      <c r="H444" s="119">
        <v>450</v>
      </c>
      <c r="I444" s="119">
        <v>450</v>
      </c>
      <c r="J444" s="239"/>
      <c r="K444" s="239"/>
      <c r="L444" s="239"/>
      <c r="M444" s="239"/>
      <c r="N444" s="239"/>
      <c r="O444" s="239"/>
      <c r="P444" s="239"/>
      <c r="Q444" s="239"/>
      <c r="R444" s="239"/>
      <c r="S444" s="239"/>
      <c r="T444" s="239"/>
    </row>
    <row r="445" spans="1:20" s="82" customFormat="1" ht="25.5" x14ac:dyDescent="0.25">
      <c r="A445" s="24" t="s">
        <v>721</v>
      </c>
      <c r="B445" s="53">
        <v>906</v>
      </c>
      <c r="C445" s="48" t="s">
        <v>32</v>
      </c>
      <c r="D445" s="48" t="s">
        <v>27</v>
      </c>
      <c r="E445" s="48" t="s">
        <v>688</v>
      </c>
      <c r="F445" s="48"/>
      <c r="G445" s="119">
        <f>G446</f>
        <v>30</v>
      </c>
      <c r="H445" s="119">
        <f t="shared" ref="H445:I445" si="148">H446</f>
        <v>31.2</v>
      </c>
      <c r="I445" s="119">
        <f t="shared" si="148"/>
        <v>32.4</v>
      </c>
      <c r="J445" s="239"/>
      <c r="K445" s="239"/>
      <c r="L445" s="239"/>
      <c r="M445" s="239"/>
      <c r="N445" s="239"/>
      <c r="O445" s="239"/>
      <c r="P445" s="239"/>
      <c r="Q445" s="239"/>
      <c r="R445" s="239"/>
      <c r="S445" s="239"/>
      <c r="T445" s="239"/>
    </row>
    <row r="446" spans="1:20" s="82" customFormat="1" ht="25.5" x14ac:dyDescent="0.25">
      <c r="A446" s="24" t="s">
        <v>798</v>
      </c>
      <c r="B446" s="53">
        <v>906</v>
      </c>
      <c r="C446" s="48" t="s">
        <v>32</v>
      </c>
      <c r="D446" s="48" t="s">
        <v>27</v>
      </c>
      <c r="E446" s="48" t="s">
        <v>689</v>
      </c>
      <c r="F446" s="48"/>
      <c r="G446" s="119">
        <f>G447+G449+G451+G453</f>
        <v>30</v>
      </c>
      <c r="H446" s="119">
        <f t="shared" ref="H446:I446" si="149">H447+H449+H451+H453</f>
        <v>31.2</v>
      </c>
      <c r="I446" s="119">
        <f t="shared" si="149"/>
        <v>32.4</v>
      </c>
      <c r="J446" s="239"/>
      <c r="K446" s="239"/>
      <c r="L446" s="239"/>
      <c r="M446" s="239"/>
      <c r="N446" s="239"/>
      <c r="O446" s="239"/>
      <c r="P446" s="239"/>
      <c r="Q446" s="239"/>
      <c r="R446" s="239"/>
      <c r="S446" s="239"/>
      <c r="T446" s="239"/>
    </row>
    <row r="447" spans="1:20" s="82" customFormat="1" ht="25.5" x14ac:dyDescent="0.25">
      <c r="A447" s="24" t="s">
        <v>691</v>
      </c>
      <c r="B447" s="53">
        <v>906</v>
      </c>
      <c r="C447" s="48" t="s">
        <v>32</v>
      </c>
      <c r="D447" s="48" t="s">
        <v>27</v>
      </c>
      <c r="E447" s="48" t="s">
        <v>690</v>
      </c>
      <c r="F447" s="48"/>
      <c r="G447" s="119">
        <f>G448</f>
        <v>8</v>
      </c>
      <c r="H447" s="119">
        <f t="shared" ref="H447:I447" si="150">H448</f>
        <v>8.1</v>
      </c>
      <c r="I447" s="119">
        <f t="shared" si="150"/>
        <v>8.4</v>
      </c>
      <c r="J447" s="239"/>
      <c r="K447" s="239"/>
      <c r="L447" s="239"/>
      <c r="M447" s="239"/>
      <c r="N447" s="239"/>
      <c r="O447" s="239"/>
      <c r="P447" s="239"/>
      <c r="Q447" s="239"/>
      <c r="R447" s="239"/>
      <c r="S447" s="239"/>
      <c r="T447" s="239"/>
    </row>
    <row r="448" spans="1:20" s="82" customFormat="1" ht="25.5" x14ac:dyDescent="0.25">
      <c r="A448" s="24" t="s">
        <v>226</v>
      </c>
      <c r="B448" s="53">
        <v>906</v>
      </c>
      <c r="C448" s="48" t="s">
        <v>32</v>
      </c>
      <c r="D448" s="48" t="s">
        <v>27</v>
      </c>
      <c r="E448" s="48" t="s">
        <v>690</v>
      </c>
      <c r="F448" s="48" t="s">
        <v>59</v>
      </c>
      <c r="G448" s="119">
        <v>8</v>
      </c>
      <c r="H448" s="119">
        <v>8.1</v>
      </c>
      <c r="I448" s="119">
        <v>8.4</v>
      </c>
      <c r="J448" s="239"/>
      <c r="K448" s="239"/>
      <c r="L448" s="239"/>
      <c r="M448" s="239"/>
      <c r="N448" s="239"/>
      <c r="O448" s="239"/>
      <c r="P448" s="239"/>
      <c r="Q448" s="239"/>
      <c r="R448" s="239"/>
      <c r="S448" s="239"/>
      <c r="T448" s="239"/>
    </row>
    <row r="449" spans="1:20" s="82" customFormat="1" ht="25.5" x14ac:dyDescent="0.25">
      <c r="A449" s="24" t="s">
        <v>693</v>
      </c>
      <c r="B449" s="53">
        <v>906</v>
      </c>
      <c r="C449" s="48" t="s">
        <v>32</v>
      </c>
      <c r="D449" s="48" t="s">
        <v>27</v>
      </c>
      <c r="E449" s="48" t="s">
        <v>692</v>
      </c>
      <c r="F449" s="48"/>
      <c r="G449" s="119">
        <f>G450</f>
        <v>8</v>
      </c>
      <c r="H449" s="119">
        <f t="shared" ref="H449:I449" si="151">H450</f>
        <v>8.1</v>
      </c>
      <c r="I449" s="119">
        <f t="shared" si="151"/>
        <v>8.4</v>
      </c>
      <c r="J449" s="239"/>
      <c r="K449" s="239"/>
      <c r="L449" s="239"/>
      <c r="M449" s="239"/>
      <c r="N449" s="239"/>
      <c r="O449" s="239"/>
      <c r="P449" s="239"/>
      <c r="Q449" s="239"/>
      <c r="R449" s="239"/>
      <c r="S449" s="239"/>
      <c r="T449" s="239"/>
    </row>
    <row r="450" spans="1:20" s="82" customFormat="1" ht="25.5" x14ac:dyDescent="0.25">
      <c r="A450" s="24" t="s">
        <v>226</v>
      </c>
      <c r="B450" s="53">
        <v>906</v>
      </c>
      <c r="C450" s="48" t="s">
        <v>32</v>
      </c>
      <c r="D450" s="48" t="s">
        <v>27</v>
      </c>
      <c r="E450" s="48" t="s">
        <v>692</v>
      </c>
      <c r="F450" s="48" t="s">
        <v>59</v>
      </c>
      <c r="G450" s="119">
        <v>8</v>
      </c>
      <c r="H450" s="119">
        <v>8.1</v>
      </c>
      <c r="I450" s="119">
        <v>8.4</v>
      </c>
      <c r="J450" s="239"/>
      <c r="K450" s="239"/>
      <c r="L450" s="239"/>
      <c r="M450" s="239"/>
      <c r="N450" s="239"/>
      <c r="O450" s="239"/>
      <c r="P450" s="239"/>
      <c r="Q450" s="239"/>
      <c r="R450" s="239"/>
      <c r="S450" s="239"/>
      <c r="T450" s="239"/>
    </row>
    <row r="451" spans="1:20" s="82" customFormat="1" ht="25.5" x14ac:dyDescent="0.25">
      <c r="A451" s="24" t="s">
        <v>694</v>
      </c>
      <c r="B451" s="53">
        <v>906</v>
      </c>
      <c r="C451" s="48" t="s">
        <v>32</v>
      </c>
      <c r="D451" s="48" t="s">
        <v>27</v>
      </c>
      <c r="E451" s="48" t="s">
        <v>695</v>
      </c>
      <c r="F451" s="48"/>
      <c r="G451" s="119">
        <f>G452</f>
        <v>7</v>
      </c>
      <c r="H451" s="119">
        <f t="shared" ref="H451:I451" si="152">H452</f>
        <v>7.5</v>
      </c>
      <c r="I451" s="119">
        <f t="shared" si="152"/>
        <v>7.8</v>
      </c>
      <c r="J451" s="239"/>
      <c r="K451" s="239"/>
      <c r="L451" s="239"/>
      <c r="M451" s="239"/>
      <c r="N451" s="239"/>
      <c r="O451" s="239"/>
      <c r="P451" s="239"/>
      <c r="Q451" s="239"/>
      <c r="R451" s="239"/>
      <c r="S451" s="239"/>
      <c r="T451" s="239"/>
    </row>
    <row r="452" spans="1:20" s="82" customFormat="1" ht="25.5" x14ac:dyDescent="0.25">
      <c r="A452" s="24" t="s">
        <v>226</v>
      </c>
      <c r="B452" s="53">
        <v>906</v>
      </c>
      <c r="C452" s="48" t="s">
        <v>32</v>
      </c>
      <c r="D452" s="48" t="s">
        <v>27</v>
      </c>
      <c r="E452" s="48" t="s">
        <v>695</v>
      </c>
      <c r="F452" s="48" t="s">
        <v>59</v>
      </c>
      <c r="G452" s="119">
        <v>7</v>
      </c>
      <c r="H452" s="119">
        <v>7.5</v>
      </c>
      <c r="I452" s="119">
        <v>7.8</v>
      </c>
      <c r="J452" s="239"/>
      <c r="K452" s="239"/>
      <c r="L452" s="239"/>
      <c r="M452" s="239"/>
      <c r="N452" s="239"/>
      <c r="O452" s="239"/>
      <c r="P452" s="239"/>
      <c r="Q452" s="239"/>
      <c r="R452" s="239"/>
      <c r="S452" s="239"/>
      <c r="T452" s="239"/>
    </row>
    <row r="453" spans="1:20" s="82" customFormat="1" ht="25.5" x14ac:dyDescent="0.25">
      <c r="A453" s="24" t="s">
        <v>697</v>
      </c>
      <c r="B453" s="53">
        <v>906</v>
      </c>
      <c r="C453" s="48" t="s">
        <v>32</v>
      </c>
      <c r="D453" s="48" t="s">
        <v>27</v>
      </c>
      <c r="E453" s="48" t="s">
        <v>696</v>
      </c>
      <c r="F453" s="48"/>
      <c r="G453" s="119">
        <f>G454</f>
        <v>7</v>
      </c>
      <c r="H453" s="119">
        <f t="shared" ref="H453:I453" si="153">H454</f>
        <v>7.5</v>
      </c>
      <c r="I453" s="119">
        <f t="shared" si="153"/>
        <v>7.8</v>
      </c>
      <c r="J453" s="239"/>
      <c r="K453" s="239"/>
      <c r="L453" s="239"/>
      <c r="M453" s="239"/>
      <c r="N453" s="239"/>
      <c r="O453" s="239"/>
      <c r="P453" s="239"/>
      <c r="Q453" s="239"/>
      <c r="R453" s="239"/>
      <c r="S453" s="239"/>
      <c r="T453" s="239"/>
    </row>
    <row r="454" spans="1:20" s="82" customFormat="1" ht="25.5" x14ac:dyDescent="0.25">
      <c r="A454" s="24" t="s">
        <v>226</v>
      </c>
      <c r="B454" s="53">
        <v>906</v>
      </c>
      <c r="C454" s="48" t="s">
        <v>32</v>
      </c>
      <c r="D454" s="48" t="s">
        <v>27</v>
      </c>
      <c r="E454" s="48" t="s">
        <v>696</v>
      </c>
      <c r="F454" s="48" t="s">
        <v>59</v>
      </c>
      <c r="G454" s="119">
        <v>7</v>
      </c>
      <c r="H454" s="119">
        <v>7.5</v>
      </c>
      <c r="I454" s="119">
        <v>7.8</v>
      </c>
      <c r="J454" s="239"/>
      <c r="K454" s="239"/>
      <c r="L454" s="239"/>
      <c r="M454" s="239"/>
      <c r="N454" s="239"/>
      <c r="O454" s="239"/>
      <c r="P454" s="239"/>
      <c r="Q454" s="239"/>
      <c r="R454" s="239"/>
      <c r="S454" s="239"/>
      <c r="T454" s="239"/>
    </row>
    <row r="455" spans="1:20" s="82" customFormat="1" x14ac:dyDescent="0.25">
      <c r="A455" s="24" t="s">
        <v>58</v>
      </c>
      <c r="B455" s="53">
        <v>906</v>
      </c>
      <c r="C455" s="48" t="s">
        <v>32</v>
      </c>
      <c r="D455" s="48" t="s">
        <v>37</v>
      </c>
      <c r="E455" s="48"/>
      <c r="F455" s="48"/>
      <c r="G455" s="119">
        <f>G460+G466+G456</f>
        <v>7350.7</v>
      </c>
      <c r="H455" s="119">
        <f t="shared" ref="H455:I455" si="154">H460+H466+H456</f>
        <v>7633.6</v>
      </c>
      <c r="I455" s="119">
        <f t="shared" si="154"/>
        <v>7927.8</v>
      </c>
      <c r="J455" s="239"/>
      <c r="K455" s="239"/>
      <c r="L455" s="239"/>
      <c r="M455" s="239"/>
      <c r="N455" s="239"/>
      <c r="O455" s="239"/>
      <c r="P455" s="239"/>
      <c r="Q455" s="239"/>
      <c r="R455" s="239"/>
      <c r="S455" s="239"/>
      <c r="T455" s="239"/>
    </row>
    <row r="456" spans="1:20" s="82" customFormat="1" ht="25.5" x14ac:dyDescent="0.25">
      <c r="A456" s="23" t="s">
        <v>546</v>
      </c>
      <c r="B456" s="53">
        <v>906</v>
      </c>
      <c r="C456" s="48" t="s">
        <v>32</v>
      </c>
      <c r="D456" s="48" t="s">
        <v>37</v>
      </c>
      <c r="E456" s="48" t="s">
        <v>143</v>
      </c>
      <c r="F456" s="48"/>
      <c r="G456" s="119">
        <f>G457</f>
        <v>143</v>
      </c>
      <c r="H456" s="119">
        <f t="shared" ref="H456:I458" si="155">H457</f>
        <v>143</v>
      </c>
      <c r="I456" s="119">
        <f t="shared" si="155"/>
        <v>143</v>
      </c>
      <c r="J456" s="239"/>
      <c r="K456" s="239"/>
      <c r="L456" s="239"/>
      <c r="M456" s="239"/>
      <c r="N456" s="239"/>
      <c r="O456" s="239"/>
      <c r="P456" s="239"/>
      <c r="Q456" s="239"/>
      <c r="R456" s="239"/>
      <c r="S456" s="239"/>
      <c r="T456" s="239"/>
    </row>
    <row r="457" spans="1:20" s="82" customFormat="1" ht="38.25" x14ac:dyDescent="0.25">
      <c r="A457" s="23" t="s">
        <v>809</v>
      </c>
      <c r="B457" s="53">
        <v>906</v>
      </c>
      <c r="C457" s="48" t="s">
        <v>32</v>
      </c>
      <c r="D457" s="48" t="s">
        <v>37</v>
      </c>
      <c r="E457" s="48" t="s">
        <v>144</v>
      </c>
      <c r="F457" s="48"/>
      <c r="G457" s="119">
        <f>G458</f>
        <v>143</v>
      </c>
      <c r="H457" s="119">
        <f t="shared" si="155"/>
        <v>143</v>
      </c>
      <c r="I457" s="119">
        <f t="shared" si="155"/>
        <v>143</v>
      </c>
      <c r="J457" s="239"/>
      <c r="K457" s="239"/>
      <c r="L457" s="239"/>
      <c r="M457" s="239"/>
      <c r="N457" s="239"/>
      <c r="O457" s="239"/>
      <c r="P457" s="239"/>
      <c r="Q457" s="239"/>
      <c r="R457" s="239"/>
      <c r="S457" s="239"/>
      <c r="T457" s="239"/>
    </row>
    <row r="458" spans="1:20" s="82" customFormat="1" ht="38.25" x14ac:dyDescent="0.25">
      <c r="A458" s="24" t="s">
        <v>710</v>
      </c>
      <c r="B458" s="53">
        <v>906</v>
      </c>
      <c r="C458" s="48" t="s">
        <v>32</v>
      </c>
      <c r="D458" s="48" t="s">
        <v>37</v>
      </c>
      <c r="E458" s="48" t="s">
        <v>709</v>
      </c>
      <c r="F458" s="48"/>
      <c r="G458" s="119">
        <f>G459</f>
        <v>143</v>
      </c>
      <c r="H458" s="119">
        <f t="shared" si="155"/>
        <v>143</v>
      </c>
      <c r="I458" s="119">
        <f t="shared" si="155"/>
        <v>143</v>
      </c>
      <c r="J458" s="239"/>
      <c r="K458" s="239"/>
      <c r="L458" s="239"/>
      <c r="M458" s="239"/>
      <c r="N458" s="239"/>
      <c r="O458" s="239"/>
      <c r="P458" s="239"/>
      <c r="Q458" s="239"/>
      <c r="R458" s="239"/>
      <c r="S458" s="239"/>
      <c r="T458" s="239"/>
    </row>
    <row r="459" spans="1:20" s="82" customFormat="1" ht="25.5" x14ac:dyDescent="0.25">
      <c r="A459" s="24" t="s">
        <v>226</v>
      </c>
      <c r="B459" s="53">
        <v>906</v>
      </c>
      <c r="C459" s="48" t="s">
        <v>32</v>
      </c>
      <c r="D459" s="48" t="s">
        <v>37</v>
      </c>
      <c r="E459" s="48" t="s">
        <v>709</v>
      </c>
      <c r="F459" s="48" t="s">
        <v>59</v>
      </c>
      <c r="G459" s="119">
        <v>143</v>
      </c>
      <c r="H459" s="119">
        <v>143</v>
      </c>
      <c r="I459" s="119">
        <v>143</v>
      </c>
      <c r="J459" s="239"/>
      <c r="K459" s="239"/>
      <c r="L459" s="239"/>
      <c r="M459" s="239"/>
      <c r="N459" s="239"/>
      <c r="O459" s="239"/>
      <c r="P459" s="239"/>
      <c r="Q459" s="239"/>
      <c r="R459" s="239"/>
      <c r="S459" s="239"/>
      <c r="T459" s="239"/>
    </row>
    <row r="460" spans="1:20" s="82" customFormat="1" ht="38.25" x14ac:dyDescent="0.25">
      <c r="A460" s="24" t="s">
        <v>454</v>
      </c>
      <c r="B460" s="53">
        <v>906</v>
      </c>
      <c r="C460" s="48" t="s">
        <v>32</v>
      </c>
      <c r="D460" s="48" t="s">
        <v>37</v>
      </c>
      <c r="E460" s="48" t="s">
        <v>455</v>
      </c>
      <c r="F460" s="48"/>
      <c r="G460" s="119">
        <f t="shared" ref="G460:I462" si="156">G461</f>
        <v>7196.4</v>
      </c>
      <c r="H460" s="119">
        <f t="shared" si="156"/>
        <v>7479.3</v>
      </c>
      <c r="I460" s="119">
        <f t="shared" si="156"/>
        <v>7773.5</v>
      </c>
      <c r="J460" s="239"/>
      <c r="K460" s="239"/>
      <c r="L460" s="239"/>
      <c r="M460" s="239"/>
      <c r="N460" s="239"/>
      <c r="O460" s="239"/>
      <c r="P460" s="239"/>
      <c r="Q460" s="239"/>
      <c r="R460" s="239"/>
      <c r="S460" s="239"/>
      <c r="T460" s="239"/>
    </row>
    <row r="461" spans="1:20" s="82" customFormat="1" ht="25.5" x14ac:dyDescent="0.25">
      <c r="A461" s="24" t="s">
        <v>760</v>
      </c>
      <c r="B461" s="53">
        <v>906</v>
      </c>
      <c r="C461" s="48" t="s">
        <v>32</v>
      </c>
      <c r="D461" s="48" t="s">
        <v>37</v>
      </c>
      <c r="E461" s="48" t="s">
        <v>473</v>
      </c>
      <c r="F461" s="48"/>
      <c r="G461" s="119">
        <f t="shared" si="156"/>
        <v>7196.4</v>
      </c>
      <c r="H461" s="119">
        <f t="shared" si="156"/>
        <v>7479.3</v>
      </c>
      <c r="I461" s="119">
        <f t="shared" si="156"/>
        <v>7773.5</v>
      </c>
      <c r="J461" s="239"/>
      <c r="K461" s="239"/>
      <c r="L461" s="239"/>
      <c r="M461" s="239"/>
      <c r="N461" s="239"/>
      <c r="O461" s="239"/>
      <c r="P461" s="239"/>
      <c r="Q461" s="239"/>
      <c r="R461" s="239"/>
      <c r="S461" s="239"/>
      <c r="T461" s="239"/>
    </row>
    <row r="462" spans="1:20" s="82" customFormat="1" ht="29.25" customHeight="1" x14ac:dyDescent="0.25">
      <c r="A462" s="24" t="s">
        <v>793</v>
      </c>
      <c r="B462" s="53">
        <v>906</v>
      </c>
      <c r="C462" s="48" t="s">
        <v>32</v>
      </c>
      <c r="D462" s="48" t="s">
        <v>37</v>
      </c>
      <c r="E462" s="48" t="s">
        <v>474</v>
      </c>
      <c r="F462" s="48"/>
      <c r="G462" s="119">
        <f t="shared" si="156"/>
        <v>7196.4</v>
      </c>
      <c r="H462" s="119">
        <f t="shared" si="156"/>
        <v>7479.3</v>
      </c>
      <c r="I462" s="119">
        <f t="shared" si="156"/>
        <v>7773.5</v>
      </c>
      <c r="J462" s="239"/>
      <c r="K462" s="239"/>
      <c r="L462" s="239"/>
      <c r="M462" s="239"/>
      <c r="N462" s="239"/>
      <c r="O462" s="239"/>
      <c r="P462" s="239"/>
      <c r="Q462" s="239"/>
      <c r="R462" s="239"/>
      <c r="S462" s="239"/>
      <c r="T462" s="239"/>
    </row>
    <row r="463" spans="1:20" s="82" customFormat="1" ht="17.25" customHeight="1" x14ac:dyDescent="0.25">
      <c r="A463" s="23" t="s">
        <v>138</v>
      </c>
      <c r="B463" s="53">
        <v>906</v>
      </c>
      <c r="C463" s="48" t="s">
        <v>32</v>
      </c>
      <c r="D463" s="48" t="s">
        <v>37</v>
      </c>
      <c r="E463" s="48" t="s">
        <v>475</v>
      </c>
      <c r="F463" s="48"/>
      <c r="G463" s="119">
        <f>G464+G465</f>
        <v>7196.4</v>
      </c>
      <c r="H463" s="119">
        <f t="shared" ref="H463:I463" si="157">H464+H465</f>
        <v>7479.3</v>
      </c>
      <c r="I463" s="119">
        <f t="shared" si="157"/>
        <v>7773.5</v>
      </c>
      <c r="J463" s="239"/>
      <c r="K463" s="239"/>
      <c r="L463" s="239"/>
      <c r="M463" s="239"/>
      <c r="N463" s="239"/>
      <c r="O463" s="239"/>
      <c r="P463" s="239"/>
      <c r="Q463" s="239"/>
      <c r="R463" s="239"/>
      <c r="S463" s="239"/>
      <c r="T463" s="239"/>
    </row>
    <row r="464" spans="1:20" s="82" customFormat="1" ht="42" customHeight="1" x14ac:dyDescent="0.25">
      <c r="A464" s="24" t="s">
        <v>225</v>
      </c>
      <c r="B464" s="53">
        <v>906</v>
      </c>
      <c r="C464" s="48" t="s">
        <v>32</v>
      </c>
      <c r="D464" s="48" t="s">
        <v>37</v>
      </c>
      <c r="E464" s="48" t="s">
        <v>475</v>
      </c>
      <c r="F464" s="48" t="s">
        <v>66</v>
      </c>
      <c r="G464" s="119">
        <v>7071.2</v>
      </c>
      <c r="H464" s="119">
        <v>7354.1</v>
      </c>
      <c r="I464" s="119">
        <v>7648.3</v>
      </c>
      <c r="J464" s="239"/>
      <c r="K464" s="239"/>
      <c r="L464" s="239"/>
      <c r="M464" s="239"/>
      <c r="N464" s="239"/>
      <c r="O464" s="239"/>
      <c r="P464" s="239"/>
      <c r="Q464" s="239"/>
      <c r="R464" s="239"/>
      <c r="S464" s="239"/>
      <c r="T464" s="239"/>
    </row>
    <row r="465" spans="1:20" s="82" customFormat="1" ht="27.75" customHeight="1" x14ac:dyDescent="0.25">
      <c r="A465" s="24" t="s">
        <v>226</v>
      </c>
      <c r="B465" s="53">
        <v>906</v>
      </c>
      <c r="C465" s="48" t="s">
        <v>32</v>
      </c>
      <c r="D465" s="48" t="s">
        <v>37</v>
      </c>
      <c r="E465" s="48" t="s">
        <v>475</v>
      </c>
      <c r="F465" s="48" t="s">
        <v>59</v>
      </c>
      <c r="G465" s="119">
        <v>125.2</v>
      </c>
      <c r="H465" s="119">
        <v>125.2</v>
      </c>
      <c r="I465" s="119">
        <v>125.2</v>
      </c>
      <c r="J465" s="239"/>
      <c r="K465" s="239"/>
      <c r="L465" s="239"/>
      <c r="M465" s="239"/>
      <c r="N465" s="239"/>
      <c r="O465" s="239"/>
      <c r="P465" s="239"/>
      <c r="Q465" s="239"/>
      <c r="R465" s="239"/>
      <c r="S465" s="239"/>
      <c r="T465" s="239"/>
    </row>
    <row r="466" spans="1:20" s="82" customFormat="1" x14ac:dyDescent="0.25">
      <c r="A466" s="24" t="s">
        <v>94</v>
      </c>
      <c r="B466" s="53">
        <v>906</v>
      </c>
      <c r="C466" s="48" t="s">
        <v>32</v>
      </c>
      <c r="D466" s="48" t="s">
        <v>37</v>
      </c>
      <c r="E466" s="48" t="s">
        <v>120</v>
      </c>
      <c r="F466" s="48"/>
      <c r="G466" s="119">
        <f>G467</f>
        <v>11.3</v>
      </c>
      <c r="H466" s="119">
        <f t="shared" ref="H466:I467" si="158">H467</f>
        <v>11.3</v>
      </c>
      <c r="I466" s="119">
        <f t="shared" si="158"/>
        <v>11.3</v>
      </c>
      <c r="J466" s="239"/>
      <c r="K466" s="239"/>
      <c r="L466" s="239"/>
      <c r="M466" s="239"/>
      <c r="N466" s="239"/>
      <c r="O466" s="239"/>
      <c r="P466" s="239"/>
      <c r="Q466" s="239"/>
      <c r="R466" s="239"/>
      <c r="S466" s="239"/>
      <c r="T466" s="239"/>
    </row>
    <row r="467" spans="1:20" s="82" customFormat="1" x14ac:dyDescent="0.25">
      <c r="A467" s="24" t="s">
        <v>379</v>
      </c>
      <c r="B467" s="53">
        <v>906</v>
      </c>
      <c r="C467" s="48" t="s">
        <v>32</v>
      </c>
      <c r="D467" s="48" t="s">
        <v>37</v>
      </c>
      <c r="E467" s="48" t="s">
        <v>380</v>
      </c>
      <c r="F467" s="48"/>
      <c r="G467" s="119">
        <f>G468</f>
        <v>11.3</v>
      </c>
      <c r="H467" s="119">
        <f t="shared" si="158"/>
        <v>11.3</v>
      </c>
      <c r="I467" s="119">
        <f t="shared" si="158"/>
        <v>11.3</v>
      </c>
      <c r="J467" s="239"/>
      <c r="K467" s="239"/>
      <c r="L467" s="239"/>
      <c r="M467" s="239"/>
      <c r="N467" s="239"/>
      <c r="O467" s="239"/>
      <c r="P467" s="239"/>
      <c r="Q467" s="239"/>
      <c r="R467" s="239"/>
      <c r="S467" s="239"/>
      <c r="T467" s="239"/>
    </row>
    <row r="468" spans="1:20" s="82" customFormat="1" ht="25.5" x14ac:dyDescent="0.25">
      <c r="A468" s="24" t="s">
        <v>226</v>
      </c>
      <c r="B468" s="53">
        <v>906</v>
      </c>
      <c r="C468" s="48" t="s">
        <v>32</v>
      </c>
      <c r="D468" s="48" t="s">
        <v>37</v>
      </c>
      <c r="E468" s="48" t="s">
        <v>380</v>
      </c>
      <c r="F468" s="48" t="s">
        <v>59</v>
      </c>
      <c r="G468" s="119">
        <v>11.3</v>
      </c>
      <c r="H468" s="119">
        <v>11.3</v>
      </c>
      <c r="I468" s="119">
        <v>11.3</v>
      </c>
      <c r="J468" s="239"/>
      <c r="K468" s="239"/>
      <c r="L468" s="239"/>
      <c r="M468" s="239"/>
      <c r="N468" s="239"/>
      <c r="O468" s="239"/>
      <c r="P468" s="239"/>
      <c r="Q468" s="239"/>
      <c r="R468" s="239"/>
      <c r="S468" s="239"/>
      <c r="T468" s="239"/>
    </row>
    <row r="469" spans="1:20" s="82" customFormat="1" ht="31.5" x14ac:dyDescent="0.25">
      <c r="A469" s="86" t="s">
        <v>614</v>
      </c>
      <c r="B469" s="52">
        <v>907</v>
      </c>
      <c r="C469" s="44"/>
      <c r="D469" s="44"/>
      <c r="E469" s="44"/>
      <c r="F469" s="44"/>
      <c r="G469" s="116">
        <f>G470</f>
        <v>80019.199999999997</v>
      </c>
      <c r="H469" s="116">
        <f t="shared" ref="H469:I469" si="159">H470</f>
        <v>52233.200000000004</v>
      </c>
      <c r="I469" s="116">
        <f t="shared" si="159"/>
        <v>52999.899999999994</v>
      </c>
      <c r="J469" s="184"/>
      <c r="K469" s="184"/>
      <c r="L469" s="184"/>
      <c r="M469" s="239"/>
      <c r="N469" s="239"/>
      <c r="O469" s="239"/>
      <c r="P469" s="239"/>
      <c r="Q469" s="239"/>
      <c r="R469" s="239"/>
      <c r="S469" s="239"/>
      <c r="T469" s="239"/>
    </row>
    <row r="470" spans="1:20" s="82" customFormat="1" x14ac:dyDescent="0.25">
      <c r="A470" s="24" t="s">
        <v>15</v>
      </c>
      <c r="B470" s="53">
        <v>907</v>
      </c>
      <c r="C470" s="48" t="s">
        <v>28</v>
      </c>
      <c r="D470" s="48"/>
      <c r="E470" s="44"/>
      <c r="F470" s="44"/>
      <c r="G470" s="119">
        <f>G471</f>
        <v>80019.199999999997</v>
      </c>
      <c r="H470" s="119">
        <f t="shared" ref="H470:I470" si="160">H471</f>
        <v>52233.200000000004</v>
      </c>
      <c r="I470" s="119">
        <f t="shared" si="160"/>
        <v>52999.899999999994</v>
      </c>
      <c r="J470" s="170"/>
      <c r="K470" s="170"/>
      <c r="L470" s="170"/>
      <c r="M470" s="239"/>
      <c r="N470" s="239"/>
      <c r="O470" s="239"/>
      <c r="P470" s="239"/>
      <c r="Q470" s="239"/>
      <c r="R470" s="239"/>
      <c r="S470" s="239"/>
      <c r="T470" s="239"/>
    </row>
    <row r="471" spans="1:20" s="82" customFormat="1" ht="25.5" x14ac:dyDescent="0.25">
      <c r="A471" s="24" t="s">
        <v>373</v>
      </c>
      <c r="B471" s="53">
        <v>907</v>
      </c>
      <c r="C471" s="48" t="s">
        <v>28</v>
      </c>
      <c r="D471" s="48" t="s">
        <v>33</v>
      </c>
      <c r="E471" s="48"/>
      <c r="F471" s="48"/>
      <c r="G471" s="119">
        <f>G476+G518+G472</f>
        <v>80019.199999999997</v>
      </c>
      <c r="H471" s="119">
        <f>H476+H518+H472</f>
        <v>52233.200000000004</v>
      </c>
      <c r="I471" s="119">
        <f>I476+I518+I472</f>
        <v>52999.899999999994</v>
      </c>
      <c r="J471" s="239"/>
      <c r="K471" s="239"/>
      <c r="L471" s="239"/>
      <c r="M471" s="239"/>
      <c r="N471" s="239"/>
      <c r="O471" s="239"/>
      <c r="P471" s="239"/>
      <c r="Q471" s="239"/>
      <c r="R471" s="239"/>
      <c r="S471" s="239"/>
      <c r="T471" s="239"/>
    </row>
    <row r="472" spans="1:20" s="82" customFormat="1" ht="25.5" x14ac:dyDescent="0.25">
      <c r="A472" s="23" t="s">
        <v>546</v>
      </c>
      <c r="B472" s="53">
        <v>907</v>
      </c>
      <c r="C472" s="48" t="s">
        <v>28</v>
      </c>
      <c r="D472" s="48" t="s">
        <v>33</v>
      </c>
      <c r="E472" s="48" t="s">
        <v>143</v>
      </c>
      <c r="F472" s="48"/>
      <c r="G472" s="119">
        <f>G473</f>
        <v>321</v>
      </c>
      <c r="H472" s="119">
        <f t="shared" ref="H472:I474" si="161">H473</f>
        <v>321</v>
      </c>
      <c r="I472" s="119">
        <f t="shared" si="161"/>
        <v>321</v>
      </c>
      <c r="J472" s="239"/>
      <c r="K472" s="239"/>
      <c r="L472" s="239"/>
      <c r="M472" s="239"/>
      <c r="N472" s="239"/>
      <c r="O472" s="239"/>
      <c r="P472" s="239"/>
      <c r="Q472" s="239"/>
      <c r="R472" s="239"/>
      <c r="S472" s="239"/>
      <c r="T472" s="239"/>
    </row>
    <row r="473" spans="1:20" s="82" customFormat="1" ht="38.25" x14ac:dyDescent="0.25">
      <c r="A473" s="23" t="s">
        <v>809</v>
      </c>
      <c r="B473" s="53">
        <v>907</v>
      </c>
      <c r="C473" s="48" t="s">
        <v>28</v>
      </c>
      <c r="D473" s="48" t="s">
        <v>33</v>
      </c>
      <c r="E473" s="48" t="s">
        <v>144</v>
      </c>
      <c r="F473" s="48"/>
      <c r="G473" s="119">
        <f>G474</f>
        <v>321</v>
      </c>
      <c r="H473" s="119">
        <f t="shared" si="161"/>
        <v>321</v>
      </c>
      <c r="I473" s="119">
        <f t="shared" si="161"/>
        <v>321</v>
      </c>
      <c r="J473" s="239"/>
      <c r="K473" s="239"/>
      <c r="L473" s="239"/>
      <c r="M473" s="239"/>
      <c r="N473" s="239"/>
      <c r="O473" s="239"/>
      <c r="P473" s="239"/>
      <c r="Q473" s="239"/>
      <c r="R473" s="239"/>
      <c r="S473" s="239"/>
      <c r="T473" s="239"/>
    </row>
    <row r="474" spans="1:20" s="82" customFormat="1" ht="38.25" x14ac:dyDescent="0.25">
      <c r="A474" s="24" t="s">
        <v>710</v>
      </c>
      <c r="B474" s="53">
        <v>907</v>
      </c>
      <c r="C474" s="48" t="s">
        <v>28</v>
      </c>
      <c r="D474" s="48" t="s">
        <v>33</v>
      </c>
      <c r="E474" s="48" t="s">
        <v>709</v>
      </c>
      <c r="F474" s="48"/>
      <c r="G474" s="119">
        <f>G475</f>
        <v>321</v>
      </c>
      <c r="H474" s="119">
        <f t="shared" si="161"/>
        <v>321</v>
      </c>
      <c r="I474" s="119">
        <f t="shared" si="161"/>
        <v>321</v>
      </c>
      <c r="J474" s="239"/>
      <c r="K474" s="239"/>
      <c r="L474" s="239"/>
      <c r="M474" s="239"/>
      <c r="N474" s="239"/>
      <c r="O474" s="239"/>
      <c r="P474" s="239"/>
      <c r="Q474" s="239"/>
      <c r="R474" s="239"/>
      <c r="S474" s="239"/>
      <c r="T474" s="239"/>
    </row>
    <row r="475" spans="1:20" s="82" customFormat="1" ht="25.5" x14ac:dyDescent="0.25">
      <c r="A475" s="24" t="s">
        <v>226</v>
      </c>
      <c r="B475" s="53">
        <v>907</v>
      </c>
      <c r="C475" s="48" t="s">
        <v>28</v>
      </c>
      <c r="D475" s="48" t="s">
        <v>33</v>
      </c>
      <c r="E475" s="48" t="s">
        <v>709</v>
      </c>
      <c r="F475" s="48" t="s">
        <v>59</v>
      </c>
      <c r="G475" s="119">
        <v>321</v>
      </c>
      <c r="H475" s="119">
        <v>321</v>
      </c>
      <c r="I475" s="119">
        <v>321</v>
      </c>
      <c r="J475" s="239"/>
      <c r="K475" s="239"/>
      <c r="L475" s="239"/>
      <c r="M475" s="239"/>
      <c r="N475" s="239"/>
      <c r="O475" s="239"/>
      <c r="P475" s="239"/>
      <c r="Q475" s="239"/>
      <c r="R475" s="239"/>
      <c r="S475" s="239"/>
      <c r="T475" s="239"/>
    </row>
    <row r="476" spans="1:20" s="82" customFormat="1" ht="38.25" x14ac:dyDescent="0.25">
      <c r="A476" s="24" t="s">
        <v>422</v>
      </c>
      <c r="B476" s="53">
        <v>907</v>
      </c>
      <c r="C476" s="48" t="s">
        <v>28</v>
      </c>
      <c r="D476" s="48" t="s">
        <v>33</v>
      </c>
      <c r="E476" s="48" t="s">
        <v>423</v>
      </c>
      <c r="F476" s="48"/>
      <c r="G476" s="119">
        <f>G477+G487+G504+G511</f>
        <v>79640.599999999991</v>
      </c>
      <c r="H476" s="119">
        <f>H477+H487+H504+H511</f>
        <v>51854.600000000006</v>
      </c>
      <c r="I476" s="119">
        <f>I477+I487+I504+I511</f>
        <v>52621.299999999996</v>
      </c>
      <c r="J476" s="239"/>
      <c r="K476" s="239"/>
      <c r="L476" s="239"/>
      <c r="M476" s="239"/>
      <c r="N476" s="239"/>
      <c r="O476" s="239"/>
      <c r="P476" s="239"/>
      <c r="Q476" s="239"/>
      <c r="R476" s="239"/>
      <c r="S476" s="239"/>
      <c r="T476" s="239"/>
    </row>
    <row r="477" spans="1:20" s="82" customFormat="1" ht="25.5" x14ac:dyDescent="0.25">
      <c r="A477" s="24" t="s">
        <v>761</v>
      </c>
      <c r="B477" s="53">
        <v>907</v>
      </c>
      <c r="C477" s="48" t="s">
        <v>28</v>
      </c>
      <c r="D477" s="48" t="s">
        <v>33</v>
      </c>
      <c r="E477" s="48" t="s">
        <v>432</v>
      </c>
      <c r="F477" s="48"/>
      <c r="G477" s="119">
        <f t="shared" ref="G477:I477" si="162">G478</f>
        <v>48326.299999999996</v>
      </c>
      <c r="H477" s="119">
        <f t="shared" si="162"/>
        <v>42114.400000000001</v>
      </c>
      <c r="I477" s="119">
        <f t="shared" si="162"/>
        <v>42869.8</v>
      </c>
      <c r="J477" s="239"/>
      <c r="K477" s="239"/>
      <c r="L477" s="239"/>
      <c r="M477" s="239"/>
      <c r="N477" s="239"/>
      <c r="O477" s="239"/>
      <c r="P477" s="239"/>
      <c r="Q477" s="239"/>
      <c r="R477" s="239"/>
      <c r="S477" s="239"/>
      <c r="T477" s="239"/>
    </row>
    <row r="478" spans="1:20" s="82" customFormat="1" ht="25.5" x14ac:dyDescent="0.25">
      <c r="A478" s="24" t="s">
        <v>799</v>
      </c>
      <c r="B478" s="53">
        <v>907</v>
      </c>
      <c r="C478" s="48" t="s">
        <v>28</v>
      </c>
      <c r="D478" s="48" t="s">
        <v>33</v>
      </c>
      <c r="E478" s="48" t="s">
        <v>433</v>
      </c>
      <c r="F478" s="48"/>
      <c r="G478" s="119">
        <f>G483+G479</f>
        <v>48326.299999999996</v>
      </c>
      <c r="H478" s="119">
        <f t="shared" ref="H478:I478" si="163">H483+H479</f>
        <v>42114.400000000001</v>
      </c>
      <c r="I478" s="119">
        <f t="shared" si="163"/>
        <v>42869.8</v>
      </c>
      <c r="J478" s="239"/>
      <c r="K478" s="239"/>
      <c r="L478" s="239"/>
      <c r="M478" s="239"/>
      <c r="N478" s="239"/>
      <c r="O478" s="239"/>
      <c r="P478" s="239"/>
      <c r="Q478" s="239"/>
      <c r="R478" s="239"/>
      <c r="S478" s="239"/>
      <c r="T478" s="239"/>
    </row>
    <row r="479" spans="1:20" s="82" customFormat="1" x14ac:dyDescent="0.25">
      <c r="A479" s="24" t="s">
        <v>138</v>
      </c>
      <c r="B479" s="53">
        <v>907</v>
      </c>
      <c r="C479" s="48" t="s">
        <v>28</v>
      </c>
      <c r="D479" s="48" t="s">
        <v>33</v>
      </c>
      <c r="E479" s="48" t="s">
        <v>434</v>
      </c>
      <c r="F479" s="48"/>
      <c r="G479" s="119">
        <f>G480+G481+G482</f>
        <v>18195.599999999999</v>
      </c>
      <c r="H479" s="119">
        <f>H480+H481+H482</f>
        <v>18889.3</v>
      </c>
      <c r="I479" s="119">
        <f>I480+I481+I482</f>
        <v>19610.8</v>
      </c>
      <c r="J479" s="239"/>
      <c r="K479" s="239"/>
      <c r="L479" s="239"/>
      <c r="M479" s="239"/>
      <c r="N479" s="239"/>
      <c r="O479" s="239"/>
      <c r="P479" s="239"/>
      <c r="Q479" s="239"/>
      <c r="R479" s="239"/>
      <c r="S479" s="239"/>
      <c r="T479" s="239"/>
    </row>
    <row r="480" spans="1:20" s="82" customFormat="1" ht="38.25" x14ac:dyDescent="0.25">
      <c r="A480" s="24" t="s">
        <v>225</v>
      </c>
      <c r="B480" s="53">
        <v>907</v>
      </c>
      <c r="C480" s="48" t="s">
        <v>28</v>
      </c>
      <c r="D480" s="48" t="s">
        <v>33</v>
      </c>
      <c r="E480" s="48" t="s">
        <v>434</v>
      </c>
      <c r="F480" s="48" t="s">
        <v>66</v>
      </c>
      <c r="G480" s="119">
        <v>17342.8</v>
      </c>
      <c r="H480" s="119">
        <v>18036.5</v>
      </c>
      <c r="I480" s="119">
        <v>18758</v>
      </c>
      <c r="J480" s="239"/>
      <c r="K480" s="239"/>
      <c r="L480" s="239"/>
      <c r="M480" s="239"/>
      <c r="N480" s="239"/>
      <c r="O480" s="239"/>
      <c r="P480" s="239"/>
      <c r="Q480" s="239"/>
      <c r="R480" s="239"/>
      <c r="S480" s="239"/>
      <c r="T480" s="239"/>
    </row>
    <row r="481" spans="1:20" s="82" customFormat="1" ht="25.5" x14ac:dyDescent="0.25">
      <c r="A481" s="24" t="s">
        <v>226</v>
      </c>
      <c r="B481" s="53">
        <v>907</v>
      </c>
      <c r="C481" s="48" t="s">
        <v>28</v>
      </c>
      <c r="D481" s="48" t="s">
        <v>33</v>
      </c>
      <c r="E481" s="48" t="s">
        <v>434</v>
      </c>
      <c r="F481" s="48" t="s">
        <v>59</v>
      </c>
      <c r="G481" s="119">
        <v>843.3</v>
      </c>
      <c r="H481" s="119">
        <v>843.3</v>
      </c>
      <c r="I481" s="119">
        <v>843.3</v>
      </c>
      <c r="J481" s="239"/>
      <c r="K481" s="239"/>
      <c r="L481" s="239"/>
      <c r="M481" s="239"/>
      <c r="N481" s="239"/>
      <c r="O481" s="239"/>
      <c r="P481" s="239"/>
      <c r="Q481" s="239"/>
      <c r="R481" s="239"/>
      <c r="S481" s="239"/>
      <c r="T481" s="239"/>
    </row>
    <row r="482" spans="1:20" s="82" customFormat="1" x14ac:dyDescent="0.25">
      <c r="A482" s="24" t="s">
        <v>95</v>
      </c>
      <c r="B482" s="53">
        <v>907</v>
      </c>
      <c r="C482" s="48" t="s">
        <v>28</v>
      </c>
      <c r="D482" s="48" t="s">
        <v>33</v>
      </c>
      <c r="E482" s="48" t="s">
        <v>434</v>
      </c>
      <c r="F482" s="48" t="s">
        <v>62</v>
      </c>
      <c r="G482" s="119">
        <v>9.5</v>
      </c>
      <c r="H482" s="119">
        <v>9.5</v>
      </c>
      <c r="I482" s="119">
        <v>9.5</v>
      </c>
      <c r="J482" s="239"/>
      <c r="K482" s="239"/>
      <c r="L482" s="239"/>
      <c r="M482" s="239"/>
      <c r="N482" s="239"/>
      <c r="O482" s="239"/>
      <c r="P482" s="239"/>
      <c r="Q482" s="239"/>
      <c r="R482" s="239"/>
      <c r="S482" s="239"/>
      <c r="T482" s="239"/>
    </row>
    <row r="483" spans="1:20" s="82" customFormat="1" x14ac:dyDescent="0.25">
      <c r="A483" s="25" t="s">
        <v>240</v>
      </c>
      <c r="B483" s="53">
        <v>907</v>
      </c>
      <c r="C483" s="48" t="s">
        <v>28</v>
      </c>
      <c r="D483" s="48" t="s">
        <v>33</v>
      </c>
      <c r="E483" s="48" t="s">
        <v>435</v>
      </c>
      <c r="F483" s="48"/>
      <c r="G483" s="119">
        <f>G484+G485+G486</f>
        <v>30130.699999999997</v>
      </c>
      <c r="H483" s="119">
        <f>H484+H485+H486</f>
        <v>23225.100000000002</v>
      </c>
      <c r="I483" s="119">
        <f>I484+I485+I486</f>
        <v>23259</v>
      </c>
      <c r="J483" s="239"/>
      <c r="K483" s="239"/>
      <c r="L483" s="239"/>
      <c r="M483" s="239"/>
      <c r="N483" s="239"/>
      <c r="O483" s="239"/>
      <c r="P483" s="239"/>
      <c r="Q483" s="239"/>
      <c r="R483" s="239"/>
      <c r="S483" s="239"/>
      <c r="T483" s="239"/>
    </row>
    <row r="484" spans="1:20" s="82" customFormat="1" ht="45" customHeight="1" x14ac:dyDescent="0.25">
      <c r="A484" s="24" t="s">
        <v>225</v>
      </c>
      <c r="B484" s="53">
        <v>907</v>
      </c>
      <c r="C484" s="48" t="s">
        <v>28</v>
      </c>
      <c r="D484" s="48" t="s">
        <v>33</v>
      </c>
      <c r="E484" s="48" t="s">
        <v>435</v>
      </c>
      <c r="F484" s="48" t="s">
        <v>66</v>
      </c>
      <c r="G484" s="119">
        <v>27266.1</v>
      </c>
      <c r="H484" s="119">
        <v>20942.7</v>
      </c>
      <c r="I484" s="119">
        <v>20938</v>
      </c>
      <c r="J484" s="239"/>
      <c r="K484" s="239"/>
      <c r="L484" s="239"/>
      <c r="M484" s="239"/>
      <c r="N484" s="239"/>
      <c r="O484" s="239"/>
      <c r="P484" s="239"/>
      <c r="Q484" s="239"/>
      <c r="R484" s="239"/>
      <c r="S484" s="239"/>
      <c r="T484" s="239"/>
    </row>
    <row r="485" spans="1:20" s="82" customFormat="1" ht="29.25" customHeight="1" x14ac:dyDescent="0.25">
      <c r="A485" s="24" t="s">
        <v>226</v>
      </c>
      <c r="B485" s="53">
        <v>907</v>
      </c>
      <c r="C485" s="48" t="s">
        <v>28</v>
      </c>
      <c r="D485" s="48" t="s">
        <v>33</v>
      </c>
      <c r="E485" s="48" t="s">
        <v>435</v>
      </c>
      <c r="F485" s="48" t="s">
        <v>59</v>
      </c>
      <c r="G485" s="119">
        <f>2860.2-104.6</f>
        <v>2755.6</v>
      </c>
      <c r="H485" s="119">
        <v>2278</v>
      </c>
      <c r="I485" s="119">
        <v>2316.6</v>
      </c>
      <c r="J485" s="239"/>
      <c r="K485" s="239"/>
      <c r="L485" s="239"/>
      <c r="M485" s="239"/>
      <c r="N485" s="239"/>
      <c r="O485" s="239"/>
      <c r="P485" s="239"/>
      <c r="Q485" s="239"/>
      <c r="R485" s="239"/>
      <c r="S485" s="239"/>
      <c r="T485" s="239"/>
    </row>
    <row r="486" spans="1:20" s="82" customFormat="1" x14ac:dyDescent="0.25">
      <c r="A486" s="24" t="s">
        <v>95</v>
      </c>
      <c r="B486" s="53">
        <v>907</v>
      </c>
      <c r="C486" s="48" t="s">
        <v>28</v>
      </c>
      <c r="D486" s="48" t="s">
        <v>33</v>
      </c>
      <c r="E486" s="48" t="s">
        <v>435</v>
      </c>
      <c r="F486" s="48" t="s">
        <v>62</v>
      </c>
      <c r="G486" s="119">
        <f>4.4+104.6</f>
        <v>109</v>
      </c>
      <c r="H486" s="119">
        <v>4.4000000000000004</v>
      </c>
      <c r="I486" s="119">
        <v>4.4000000000000004</v>
      </c>
      <c r="J486" s="239"/>
      <c r="K486" s="239"/>
      <c r="L486" s="239"/>
      <c r="M486" s="239"/>
      <c r="N486" s="239"/>
      <c r="O486" s="239"/>
      <c r="P486" s="239"/>
      <c r="Q486" s="239"/>
      <c r="R486" s="239"/>
      <c r="S486" s="239"/>
      <c r="T486" s="239"/>
    </row>
    <row r="487" spans="1:20" s="82" customFormat="1" ht="25.5" x14ac:dyDescent="0.25">
      <c r="A487" s="24" t="s">
        <v>762</v>
      </c>
      <c r="B487" s="53">
        <v>907</v>
      </c>
      <c r="C487" s="48" t="s">
        <v>28</v>
      </c>
      <c r="D487" s="48" t="s">
        <v>33</v>
      </c>
      <c r="E487" s="48" t="s">
        <v>436</v>
      </c>
      <c r="F487" s="48"/>
      <c r="G487" s="119">
        <f>G488+G494+G499</f>
        <v>5010.3999999999996</v>
      </c>
      <c r="H487" s="119">
        <f>H488+H494+H499</f>
        <v>1016.0999999999999</v>
      </c>
      <c r="I487" s="119">
        <f>I488+I494+I499</f>
        <v>1016.0999999999999</v>
      </c>
      <c r="J487" s="239"/>
      <c r="K487" s="239"/>
      <c r="L487" s="239"/>
      <c r="M487" s="239"/>
      <c r="N487" s="239"/>
      <c r="O487" s="239"/>
      <c r="P487" s="239"/>
      <c r="Q487" s="239"/>
      <c r="R487" s="239"/>
      <c r="S487" s="239"/>
      <c r="T487" s="239"/>
    </row>
    <row r="488" spans="1:20" s="82" customFormat="1" ht="25.5" x14ac:dyDescent="0.25">
      <c r="A488" s="24" t="s">
        <v>800</v>
      </c>
      <c r="B488" s="53">
        <v>907</v>
      </c>
      <c r="C488" s="48" t="s">
        <v>28</v>
      </c>
      <c r="D488" s="48" t="s">
        <v>33</v>
      </c>
      <c r="E488" s="48" t="s">
        <v>437</v>
      </c>
      <c r="F488" s="48"/>
      <c r="G488" s="119">
        <f>G489+G492</f>
        <v>519.9</v>
      </c>
      <c r="H488" s="119">
        <f>H489+H492</f>
        <v>519.9</v>
      </c>
      <c r="I488" s="119">
        <f>I489+I492</f>
        <v>519.9</v>
      </c>
      <c r="J488" s="239"/>
      <c r="K488" s="239"/>
      <c r="L488" s="239"/>
      <c r="M488" s="239"/>
      <c r="N488" s="239"/>
      <c r="O488" s="239"/>
      <c r="P488" s="239"/>
      <c r="Q488" s="239"/>
      <c r="R488" s="239"/>
      <c r="S488" s="239"/>
      <c r="T488" s="239"/>
    </row>
    <row r="489" spans="1:20" s="82" customFormat="1" ht="25.5" x14ac:dyDescent="0.25">
      <c r="A489" s="23" t="s">
        <v>312</v>
      </c>
      <c r="B489" s="53">
        <v>907</v>
      </c>
      <c r="C489" s="48" t="s">
        <v>28</v>
      </c>
      <c r="D489" s="48" t="s">
        <v>33</v>
      </c>
      <c r="E489" s="48" t="s">
        <v>438</v>
      </c>
      <c r="F489" s="48"/>
      <c r="G489" s="119">
        <f>G491+G490</f>
        <v>500</v>
      </c>
      <c r="H489" s="119">
        <f t="shared" ref="H489:I489" si="164">H491+H490</f>
        <v>500</v>
      </c>
      <c r="I489" s="119">
        <f t="shared" si="164"/>
        <v>500</v>
      </c>
      <c r="J489" s="239"/>
      <c r="K489" s="239"/>
      <c r="L489" s="239"/>
      <c r="M489" s="239"/>
      <c r="N489" s="239"/>
      <c r="O489" s="239"/>
      <c r="P489" s="239"/>
      <c r="Q489" s="239"/>
      <c r="R489" s="239"/>
      <c r="S489" s="239"/>
      <c r="T489" s="239"/>
    </row>
    <row r="490" spans="1:20" s="82" customFormat="1" ht="25.5" x14ac:dyDescent="0.25">
      <c r="A490" s="24" t="s">
        <v>226</v>
      </c>
      <c r="B490" s="53">
        <v>907</v>
      </c>
      <c r="C490" s="48" t="s">
        <v>28</v>
      </c>
      <c r="D490" s="48" t="s">
        <v>33</v>
      </c>
      <c r="E490" s="48" t="s">
        <v>438</v>
      </c>
      <c r="F490" s="48" t="s">
        <v>59</v>
      </c>
      <c r="G490" s="119">
        <v>230.9</v>
      </c>
      <c r="H490" s="119">
        <v>0</v>
      </c>
      <c r="I490" s="119">
        <v>0</v>
      </c>
      <c r="J490" s="184"/>
      <c r="K490" s="239"/>
      <c r="L490" s="239"/>
      <c r="M490" s="239"/>
      <c r="N490" s="239"/>
      <c r="O490" s="239"/>
      <c r="P490" s="239"/>
      <c r="Q490" s="239"/>
      <c r="R490" s="239"/>
      <c r="S490" s="239"/>
      <c r="T490" s="239"/>
    </row>
    <row r="491" spans="1:20" s="82" customFormat="1" x14ac:dyDescent="0.25">
      <c r="A491" s="24" t="s">
        <v>95</v>
      </c>
      <c r="B491" s="53">
        <v>907</v>
      </c>
      <c r="C491" s="48" t="s">
        <v>28</v>
      </c>
      <c r="D491" s="48" t="s">
        <v>33</v>
      </c>
      <c r="E491" s="48" t="s">
        <v>438</v>
      </c>
      <c r="F491" s="48" t="s">
        <v>62</v>
      </c>
      <c r="G491" s="119">
        <f>500-230.9</f>
        <v>269.10000000000002</v>
      </c>
      <c r="H491" s="119">
        <v>500</v>
      </c>
      <c r="I491" s="119">
        <v>500</v>
      </c>
      <c r="J491" s="162"/>
      <c r="K491" s="239"/>
      <c r="L491" s="239"/>
      <c r="M491" s="239"/>
      <c r="N491" s="239"/>
      <c r="O491" s="239"/>
      <c r="P491" s="239"/>
      <c r="Q491" s="239"/>
      <c r="R491" s="239"/>
      <c r="S491" s="239"/>
      <c r="T491" s="239"/>
    </row>
    <row r="492" spans="1:20" s="82" customFormat="1" ht="25.5" x14ac:dyDescent="0.25">
      <c r="A492" s="24" t="s">
        <v>656</v>
      </c>
      <c r="B492" s="53">
        <v>907</v>
      </c>
      <c r="C492" s="48" t="s">
        <v>28</v>
      </c>
      <c r="D492" s="48" t="s">
        <v>33</v>
      </c>
      <c r="E492" s="48" t="s">
        <v>655</v>
      </c>
      <c r="F492" s="48"/>
      <c r="G492" s="119">
        <f>G493</f>
        <v>19.899999999999999</v>
      </c>
      <c r="H492" s="119">
        <f t="shared" ref="H492:I492" si="165">H493</f>
        <v>19.899999999999999</v>
      </c>
      <c r="I492" s="119">
        <f t="shared" si="165"/>
        <v>19.899999999999999</v>
      </c>
      <c r="J492" s="144"/>
      <c r="K492" s="239"/>
      <c r="L492" s="239"/>
      <c r="M492" s="239"/>
      <c r="N492" s="239"/>
      <c r="O492" s="239"/>
      <c r="P492" s="239"/>
      <c r="Q492" s="239"/>
      <c r="R492" s="239"/>
      <c r="S492" s="239"/>
      <c r="T492" s="239"/>
    </row>
    <row r="493" spans="1:20" s="82" customFormat="1" ht="25.5" x14ac:dyDescent="0.25">
      <c r="A493" s="24" t="s">
        <v>226</v>
      </c>
      <c r="B493" s="53">
        <v>907</v>
      </c>
      <c r="C493" s="48" t="s">
        <v>28</v>
      </c>
      <c r="D493" s="48" t="s">
        <v>33</v>
      </c>
      <c r="E493" s="48" t="s">
        <v>655</v>
      </c>
      <c r="F493" s="48" t="s">
        <v>59</v>
      </c>
      <c r="G493" s="119">
        <v>19.899999999999999</v>
      </c>
      <c r="H493" s="119">
        <v>19.899999999999999</v>
      </c>
      <c r="I493" s="119">
        <v>19.899999999999999</v>
      </c>
      <c r="J493" s="184"/>
      <c r="K493" s="239"/>
      <c r="L493" s="239"/>
      <c r="M493" s="239"/>
      <c r="N493" s="239"/>
      <c r="O493" s="239"/>
      <c r="P493" s="239"/>
      <c r="Q493" s="239"/>
      <c r="R493" s="239"/>
      <c r="S493" s="239"/>
      <c r="T493" s="239"/>
    </row>
    <row r="494" spans="1:20" s="82" customFormat="1" ht="25.5" x14ac:dyDescent="0.25">
      <c r="A494" s="24" t="s">
        <v>801</v>
      </c>
      <c r="B494" s="53">
        <v>907</v>
      </c>
      <c r="C494" s="48" t="s">
        <v>28</v>
      </c>
      <c r="D494" s="48" t="s">
        <v>33</v>
      </c>
      <c r="E494" s="48" t="s">
        <v>439</v>
      </c>
      <c r="F494" s="48"/>
      <c r="G494" s="119">
        <f>G495+G497</f>
        <v>457.2</v>
      </c>
      <c r="H494" s="119">
        <f>H495+H497</f>
        <v>457.2</v>
      </c>
      <c r="I494" s="119">
        <f>I495+I497</f>
        <v>457.2</v>
      </c>
      <c r="J494" s="239"/>
      <c r="K494" s="239"/>
      <c r="L494" s="239"/>
      <c r="M494" s="239"/>
      <c r="N494" s="239"/>
      <c r="O494" s="239"/>
      <c r="P494" s="239"/>
      <c r="Q494" s="239"/>
      <c r="R494" s="239"/>
      <c r="S494" s="239"/>
      <c r="T494" s="239"/>
    </row>
    <row r="495" spans="1:20" s="82" customFormat="1" ht="25.5" x14ac:dyDescent="0.25">
      <c r="A495" s="24" t="s">
        <v>441</v>
      </c>
      <c r="B495" s="53">
        <v>907</v>
      </c>
      <c r="C495" s="48" t="s">
        <v>28</v>
      </c>
      <c r="D495" s="48" t="s">
        <v>33</v>
      </c>
      <c r="E495" s="48" t="s">
        <v>440</v>
      </c>
      <c r="F495" s="48"/>
      <c r="G495" s="119">
        <f>G496</f>
        <v>371.7</v>
      </c>
      <c r="H495" s="119">
        <f>H496</f>
        <v>371.7</v>
      </c>
      <c r="I495" s="119">
        <f>I496</f>
        <v>371.7</v>
      </c>
      <c r="J495" s="239"/>
      <c r="K495" s="239"/>
      <c r="L495" s="239"/>
      <c r="M495" s="239"/>
      <c r="N495" s="239"/>
      <c r="O495" s="239"/>
      <c r="P495" s="239"/>
      <c r="Q495" s="239"/>
      <c r="R495" s="239"/>
      <c r="S495" s="239"/>
      <c r="T495" s="239"/>
    </row>
    <row r="496" spans="1:20" s="82" customFormat="1" ht="25.5" x14ac:dyDescent="0.25">
      <c r="A496" s="24" t="s">
        <v>226</v>
      </c>
      <c r="B496" s="53">
        <v>907</v>
      </c>
      <c r="C496" s="48" t="s">
        <v>28</v>
      </c>
      <c r="D496" s="48" t="s">
        <v>33</v>
      </c>
      <c r="E496" s="48" t="s">
        <v>440</v>
      </c>
      <c r="F496" s="48" t="s">
        <v>59</v>
      </c>
      <c r="G496" s="119">
        <v>371.7</v>
      </c>
      <c r="H496" s="119">
        <v>371.7</v>
      </c>
      <c r="I496" s="119">
        <v>371.7</v>
      </c>
      <c r="J496" s="239"/>
      <c r="K496" s="239"/>
      <c r="L496" s="239"/>
      <c r="M496" s="239"/>
      <c r="N496" s="239"/>
      <c r="O496" s="239"/>
      <c r="P496" s="239"/>
      <c r="Q496" s="239"/>
      <c r="R496" s="239"/>
      <c r="S496" s="239"/>
      <c r="T496" s="239"/>
    </row>
    <row r="497" spans="1:20" s="82" customFormat="1" x14ac:dyDescent="0.25">
      <c r="A497" s="24" t="s">
        <v>443</v>
      </c>
      <c r="B497" s="53">
        <v>907</v>
      </c>
      <c r="C497" s="48" t="s">
        <v>28</v>
      </c>
      <c r="D497" s="48" t="s">
        <v>33</v>
      </c>
      <c r="E497" s="48" t="s">
        <v>442</v>
      </c>
      <c r="F497" s="48"/>
      <c r="G497" s="119">
        <f>G498</f>
        <v>85.5</v>
      </c>
      <c r="H497" s="119">
        <f>H498</f>
        <v>85.5</v>
      </c>
      <c r="I497" s="119">
        <f>I498</f>
        <v>85.5</v>
      </c>
      <c r="J497" s="239"/>
      <c r="K497" s="239"/>
      <c r="L497" s="239"/>
      <c r="M497" s="239"/>
      <c r="N497" s="239"/>
      <c r="O497" s="239"/>
      <c r="P497" s="239"/>
      <c r="Q497" s="239"/>
      <c r="R497" s="239"/>
      <c r="S497" s="239"/>
      <c r="T497" s="239"/>
    </row>
    <row r="498" spans="1:20" s="82" customFormat="1" ht="25.5" x14ac:dyDescent="0.25">
      <c r="A498" s="24" t="s">
        <v>226</v>
      </c>
      <c r="B498" s="53">
        <v>907</v>
      </c>
      <c r="C498" s="48" t="s">
        <v>28</v>
      </c>
      <c r="D498" s="48" t="s">
        <v>33</v>
      </c>
      <c r="E498" s="48" t="s">
        <v>442</v>
      </c>
      <c r="F498" s="48" t="s">
        <v>59</v>
      </c>
      <c r="G498" s="119">
        <v>85.5</v>
      </c>
      <c r="H498" s="119">
        <v>85.5</v>
      </c>
      <c r="I498" s="119">
        <v>85.5</v>
      </c>
      <c r="J498" s="239"/>
      <c r="K498" s="239"/>
      <c r="L498" s="239"/>
      <c r="M498" s="239"/>
      <c r="N498" s="239"/>
      <c r="O498" s="239"/>
      <c r="P498" s="239"/>
      <c r="Q498" s="239"/>
      <c r="R498" s="239"/>
      <c r="S498" s="239"/>
      <c r="T498" s="239"/>
    </row>
    <row r="499" spans="1:20" s="82" customFormat="1" ht="25.5" x14ac:dyDescent="0.25">
      <c r="A499" s="24" t="s">
        <v>802</v>
      </c>
      <c r="B499" s="53">
        <v>907</v>
      </c>
      <c r="C499" s="48" t="s">
        <v>28</v>
      </c>
      <c r="D499" s="48" t="s">
        <v>33</v>
      </c>
      <c r="E499" s="48" t="s">
        <v>657</v>
      </c>
      <c r="F499" s="48"/>
      <c r="G499" s="119">
        <f>G500+G502</f>
        <v>4033.2999999999997</v>
      </c>
      <c r="H499" s="119">
        <f t="shared" ref="H499:I499" si="166">H500+H502</f>
        <v>39</v>
      </c>
      <c r="I499" s="119">
        <f t="shared" si="166"/>
        <v>39</v>
      </c>
      <c r="J499" s="144"/>
      <c r="K499" s="239"/>
      <c r="L499" s="239"/>
      <c r="M499" s="239"/>
      <c r="N499" s="239"/>
      <c r="O499" s="239"/>
      <c r="P499" s="239"/>
      <c r="Q499" s="239"/>
      <c r="R499" s="239"/>
      <c r="S499" s="239"/>
      <c r="T499" s="239"/>
    </row>
    <row r="500" spans="1:20" s="82" customFormat="1" ht="25.5" x14ac:dyDescent="0.25">
      <c r="A500" s="24" t="s">
        <v>658</v>
      </c>
      <c r="B500" s="53">
        <v>907</v>
      </c>
      <c r="C500" s="48" t="s">
        <v>28</v>
      </c>
      <c r="D500" s="48" t="s">
        <v>33</v>
      </c>
      <c r="E500" s="48" t="s">
        <v>659</v>
      </c>
      <c r="F500" s="48"/>
      <c r="G500" s="119">
        <f>G501</f>
        <v>39</v>
      </c>
      <c r="H500" s="119">
        <f t="shared" ref="H500:I500" si="167">H501</f>
        <v>39</v>
      </c>
      <c r="I500" s="119">
        <f t="shared" si="167"/>
        <v>39</v>
      </c>
      <c r="J500" s="239"/>
      <c r="K500" s="239"/>
      <c r="L500" s="239"/>
      <c r="M500" s="239"/>
      <c r="N500" s="239"/>
      <c r="O500" s="239"/>
      <c r="P500" s="239"/>
      <c r="Q500" s="239"/>
      <c r="R500" s="239"/>
      <c r="S500" s="239"/>
      <c r="T500" s="239"/>
    </row>
    <row r="501" spans="1:20" s="82" customFormat="1" ht="25.5" x14ac:dyDescent="0.25">
      <c r="A501" s="24" t="s">
        <v>226</v>
      </c>
      <c r="B501" s="53">
        <v>907</v>
      </c>
      <c r="C501" s="48" t="s">
        <v>28</v>
      </c>
      <c r="D501" s="48" t="s">
        <v>33</v>
      </c>
      <c r="E501" s="48" t="s">
        <v>659</v>
      </c>
      <c r="F501" s="48" t="s">
        <v>59</v>
      </c>
      <c r="G501" s="119">
        <f>3337.2-3298.2</f>
        <v>39</v>
      </c>
      <c r="H501" s="119">
        <v>39</v>
      </c>
      <c r="I501" s="119">
        <v>39</v>
      </c>
      <c r="J501" s="239">
        <v>-3298.2</v>
      </c>
      <c r="K501" s="239"/>
      <c r="L501" s="239"/>
      <c r="M501" s="239"/>
      <c r="N501" s="239"/>
      <c r="O501" s="239"/>
      <c r="P501" s="239"/>
      <c r="Q501" s="239"/>
      <c r="R501" s="239"/>
      <c r="S501" s="239"/>
      <c r="T501" s="239"/>
    </row>
    <row r="502" spans="1:20" s="82" customFormat="1" ht="25.5" x14ac:dyDescent="0.25">
      <c r="A502" s="24" t="s">
        <v>1007</v>
      </c>
      <c r="B502" s="53">
        <v>907</v>
      </c>
      <c r="C502" s="48" t="s">
        <v>28</v>
      </c>
      <c r="D502" s="48" t="s">
        <v>33</v>
      </c>
      <c r="E502" s="48" t="s">
        <v>1006</v>
      </c>
      <c r="F502" s="48"/>
      <c r="G502" s="119">
        <f>G503</f>
        <v>3994.2999999999997</v>
      </c>
      <c r="H502" s="119">
        <f t="shared" ref="H502:I502" si="168">H503</f>
        <v>0</v>
      </c>
      <c r="I502" s="119">
        <f t="shared" si="168"/>
        <v>0</v>
      </c>
      <c r="J502" s="239"/>
      <c r="K502" s="239"/>
      <c r="L502" s="239"/>
      <c r="M502" s="239"/>
      <c r="N502" s="239"/>
      <c r="O502" s="239"/>
      <c r="P502" s="239"/>
      <c r="Q502" s="239"/>
      <c r="R502" s="239"/>
      <c r="S502" s="239"/>
      <c r="T502" s="239"/>
    </row>
    <row r="503" spans="1:20" s="82" customFormat="1" ht="25.5" x14ac:dyDescent="0.25">
      <c r="A503" s="24" t="s">
        <v>226</v>
      </c>
      <c r="B503" s="53">
        <v>907</v>
      </c>
      <c r="C503" s="48" t="s">
        <v>28</v>
      </c>
      <c r="D503" s="48" t="s">
        <v>33</v>
      </c>
      <c r="E503" s="48" t="s">
        <v>1006</v>
      </c>
      <c r="F503" s="48" t="s">
        <v>59</v>
      </c>
      <c r="G503" s="119">
        <f>3298.2+150+546.1</f>
        <v>3994.2999999999997</v>
      </c>
      <c r="H503" s="119">
        <v>0</v>
      </c>
      <c r="I503" s="119">
        <v>0</v>
      </c>
      <c r="J503" s="239">
        <f>3298.2+150+546.1</f>
        <v>3994.2999999999997</v>
      </c>
      <c r="K503" s="239"/>
      <c r="L503" s="239"/>
      <c r="M503" s="239"/>
      <c r="N503" s="239"/>
      <c r="O503" s="239"/>
      <c r="P503" s="239"/>
      <c r="Q503" s="239"/>
      <c r="R503" s="239"/>
      <c r="S503" s="239"/>
      <c r="T503" s="239"/>
    </row>
    <row r="504" spans="1:20" s="82" customFormat="1" ht="25.5" x14ac:dyDescent="0.25">
      <c r="A504" s="24" t="s">
        <v>763</v>
      </c>
      <c r="B504" s="53">
        <v>907</v>
      </c>
      <c r="C504" s="48" t="s">
        <v>28</v>
      </c>
      <c r="D504" s="48" t="s">
        <v>33</v>
      </c>
      <c r="E504" s="48" t="s">
        <v>444</v>
      </c>
      <c r="F504" s="48"/>
      <c r="G504" s="119">
        <f>G508+G505</f>
        <v>24010.1</v>
      </c>
      <c r="H504" s="119">
        <f t="shared" ref="H504:I504" si="169">H508+H505</f>
        <v>7864.8</v>
      </c>
      <c r="I504" s="119">
        <f t="shared" si="169"/>
        <v>7875.7</v>
      </c>
      <c r="J504" s="239"/>
      <c r="K504" s="239"/>
      <c r="L504" s="239"/>
      <c r="M504" s="239"/>
      <c r="N504" s="239"/>
      <c r="O504" s="239"/>
      <c r="P504" s="239"/>
      <c r="Q504" s="239"/>
      <c r="R504" s="239"/>
      <c r="S504" s="239"/>
      <c r="T504" s="239"/>
    </row>
    <row r="505" spans="1:20" s="82" customFormat="1" x14ac:dyDescent="0.25">
      <c r="A505" s="24" t="s">
        <v>1009</v>
      </c>
      <c r="B505" s="53">
        <v>907</v>
      </c>
      <c r="C505" s="48" t="s">
        <v>28</v>
      </c>
      <c r="D505" s="48" t="s">
        <v>33</v>
      </c>
      <c r="E505" s="48" t="s">
        <v>1008</v>
      </c>
      <c r="F505" s="48"/>
      <c r="G505" s="119">
        <f>G506</f>
        <v>10934.199999999999</v>
      </c>
      <c r="H505" s="119">
        <f t="shared" ref="H505:I506" si="170">H506</f>
        <v>0</v>
      </c>
      <c r="I505" s="119">
        <f t="shared" si="170"/>
        <v>0</v>
      </c>
      <c r="J505" s="239"/>
      <c r="K505" s="239"/>
      <c r="L505" s="239"/>
      <c r="M505" s="239"/>
      <c r="N505" s="239"/>
      <c r="O505" s="239"/>
      <c r="P505" s="239"/>
      <c r="Q505" s="239"/>
      <c r="R505" s="239"/>
      <c r="S505" s="239"/>
      <c r="T505" s="239"/>
    </row>
    <row r="506" spans="1:20" s="82" customFormat="1" ht="25.5" x14ac:dyDescent="0.25">
      <c r="A506" s="24" t="s">
        <v>1011</v>
      </c>
      <c r="B506" s="53">
        <v>907</v>
      </c>
      <c r="C506" s="48" t="s">
        <v>28</v>
      </c>
      <c r="D506" s="48" t="s">
        <v>33</v>
      </c>
      <c r="E506" s="48" t="s">
        <v>1010</v>
      </c>
      <c r="F506" s="48"/>
      <c r="G506" s="119">
        <f>G507</f>
        <v>10934.199999999999</v>
      </c>
      <c r="H506" s="119">
        <f t="shared" si="170"/>
        <v>0</v>
      </c>
      <c r="I506" s="119">
        <f t="shared" si="170"/>
        <v>0</v>
      </c>
      <c r="J506" s="239"/>
      <c r="K506" s="239"/>
      <c r="L506" s="239"/>
      <c r="M506" s="239"/>
      <c r="N506" s="239"/>
      <c r="O506" s="239"/>
      <c r="P506" s="239"/>
      <c r="Q506" s="239"/>
      <c r="R506" s="239"/>
      <c r="S506" s="239"/>
      <c r="T506" s="239"/>
    </row>
    <row r="507" spans="1:20" s="82" customFormat="1" ht="25.5" x14ac:dyDescent="0.25">
      <c r="A507" s="24" t="s">
        <v>226</v>
      </c>
      <c r="B507" s="53">
        <v>907</v>
      </c>
      <c r="C507" s="48" t="s">
        <v>28</v>
      </c>
      <c r="D507" s="48" t="s">
        <v>33</v>
      </c>
      <c r="E507" s="48" t="s">
        <v>1010</v>
      </c>
      <c r="F507" s="48" t="s">
        <v>59</v>
      </c>
      <c r="G507" s="119">
        <f>11480.3-546.1</f>
        <v>10934.199999999999</v>
      </c>
      <c r="H507" s="119">
        <v>0</v>
      </c>
      <c r="I507" s="119">
        <v>0</v>
      </c>
      <c r="J507" s="239">
        <f>11480.3-546.1</f>
        <v>10934.199999999999</v>
      </c>
      <c r="K507" s="239"/>
      <c r="L507" s="239"/>
      <c r="M507" s="239"/>
      <c r="N507" s="239"/>
      <c r="O507" s="239"/>
      <c r="P507" s="239"/>
      <c r="Q507" s="239"/>
      <c r="R507" s="239"/>
      <c r="S507" s="239"/>
      <c r="T507" s="239"/>
    </row>
    <row r="508" spans="1:20" s="82" customFormat="1" x14ac:dyDescent="0.25">
      <c r="A508" s="24" t="s">
        <v>803</v>
      </c>
      <c r="B508" s="53">
        <v>907</v>
      </c>
      <c r="C508" s="48" t="s">
        <v>28</v>
      </c>
      <c r="D508" s="48" t="s">
        <v>33</v>
      </c>
      <c r="E508" s="48" t="s">
        <v>445</v>
      </c>
      <c r="F508" s="48"/>
      <c r="G508" s="119">
        <f t="shared" ref="G508:I509" si="171">G509</f>
        <v>13075.900000000001</v>
      </c>
      <c r="H508" s="119">
        <f t="shared" si="171"/>
        <v>7864.8</v>
      </c>
      <c r="I508" s="119">
        <f t="shared" si="171"/>
        <v>7875.7</v>
      </c>
      <c r="J508" s="239"/>
      <c r="K508" s="239"/>
      <c r="L508" s="239"/>
      <c r="M508" s="239"/>
      <c r="N508" s="239"/>
      <c r="O508" s="239"/>
      <c r="P508" s="239"/>
      <c r="Q508" s="239"/>
      <c r="R508" s="239"/>
      <c r="S508" s="239"/>
      <c r="T508" s="239"/>
    </row>
    <row r="509" spans="1:20" s="82" customFormat="1" ht="25.5" x14ac:dyDescent="0.25">
      <c r="A509" s="24" t="s">
        <v>241</v>
      </c>
      <c r="B509" s="53">
        <v>907</v>
      </c>
      <c r="C509" s="48" t="s">
        <v>28</v>
      </c>
      <c r="D509" s="48" t="s">
        <v>33</v>
      </c>
      <c r="E509" s="48" t="s">
        <v>446</v>
      </c>
      <c r="F509" s="48"/>
      <c r="G509" s="119">
        <f t="shared" si="171"/>
        <v>13075.900000000001</v>
      </c>
      <c r="H509" s="119">
        <f t="shared" si="171"/>
        <v>7864.8</v>
      </c>
      <c r="I509" s="119">
        <f t="shared" si="171"/>
        <v>7875.7</v>
      </c>
      <c r="J509" s="239"/>
      <c r="K509" s="239"/>
      <c r="L509" s="239"/>
      <c r="M509" s="239"/>
      <c r="N509" s="239"/>
      <c r="O509" s="239"/>
      <c r="P509" s="239"/>
      <c r="Q509" s="239"/>
      <c r="R509" s="239"/>
      <c r="S509" s="239"/>
      <c r="T509" s="239"/>
    </row>
    <row r="510" spans="1:20" s="82" customFormat="1" ht="25.5" x14ac:dyDescent="0.25">
      <c r="A510" s="24" t="s">
        <v>226</v>
      </c>
      <c r="B510" s="53">
        <v>907</v>
      </c>
      <c r="C510" s="48" t="s">
        <v>28</v>
      </c>
      <c r="D510" s="48" t="s">
        <v>33</v>
      </c>
      <c r="E510" s="48" t="s">
        <v>446</v>
      </c>
      <c r="F510" s="48" t="s">
        <v>59</v>
      </c>
      <c r="G510" s="119">
        <f>24706.2-150-11480.3</f>
        <v>13075.900000000001</v>
      </c>
      <c r="H510" s="119">
        <v>7864.8</v>
      </c>
      <c r="I510" s="119">
        <v>7875.7</v>
      </c>
      <c r="J510" s="239">
        <f>-150-11480.3</f>
        <v>-11630.3</v>
      </c>
      <c r="K510" s="239"/>
      <c r="L510" s="239"/>
      <c r="M510" s="239"/>
      <c r="N510" s="239"/>
      <c r="O510" s="239"/>
      <c r="P510" s="239"/>
      <c r="Q510" s="239"/>
      <c r="R510" s="239"/>
      <c r="S510" s="239"/>
      <c r="T510" s="239"/>
    </row>
    <row r="511" spans="1:20" s="82" customFormat="1" ht="25.5" x14ac:dyDescent="0.25">
      <c r="A511" s="24" t="s">
        <v>764</v>
      </c>
      <c r="B511" s="53">
        <v>907</v>
      </c>
      <c r="C511" s="48" t="s">
        <v>28</v>
      </c>
      <c r="D511" s="48" t="s">
        <v>33</v>
      </c>
      <c r="E511" s="48" t="s">
        <v>447</v>
      </c>
      <c r="F511" s="48"/>
      <c r="G511" s="119">
        <f>G512+G515</f>
        <v>2293.8000000000002</v>
      </c>
      <c r="H511" s="119">
        <f>H512+H515</f>
        <v>859.3</v>
      </c>
      <c r="I511" s="119">
        <f>I512+I515</f>
        <v>859.7</v>
      </c>
      <c r="J511" s="239"/>
      <c r="K511" s="239"/>
      <c r="L511" s="239"/>
      <c r="M511" s="239"/>
      <c r="N511" s="239"/>
      <c r="O511" s="239"/>
      <c r="P511" s="239"/>
      <c r="Q511" s="239"/>
      <c r="R511" s="239"/>
      <c r="S511" s="239"/>
      <c r="T511" s="239"/>
    </row>
    <row r="512" spans="1:20" s="82" customFormat="1" ht="25.5" x14ac:dyDescent="0.25">
      <c r="A512" s="24" t="s">
        <v>804</v>
      </c>
      <c r="B512" s="53">
        <v>907</v>
      </c>
      <c r="C512" s="48" t="s">
        <v>28</v>
      </c>
      <c r="D512" s="48" t="s">
        <v>33</v>
      </c>
      <c r="E512" s="48" t="s">
        <v>449</v>
      </c>
      <c r="F512" s="48"/>
      <c r="G512" s="119">
        <f t="shared" ref="G512:I513" si="172">G513</f>
        <v>27.9</v>
      </c>
      <c r="H512" s="119">
        <f t="shared" si="172"/>
        <v>0</v>
      </c>
      <c r="I512" s="119">
        <f t="shared" si="172"/>
        <v>0</v>
      </c>
      <c r="J512" s="239"/>
      <c r="K512" s="239"/>
      <c r="L512" s="239"/>
      <c r="M512" s="239"/>
      <c r="N512" s="239"/>
      <c r="O512" s="239"/>
      <c r="P512" s="239"/>
      <c r="Q512" s="239"/>
      <c r="R512" s="239"/>
      <c r="S512" s="239"/>
      <c r="T512" s="239"/>
    </row>
    <row r="513" spans="1:20" s="82" customFormat="1" x14ac:dyDescent="0.25">
      <c r="A513" s="24" t="s">
        <v>451</v>
      </c>
      <c r="B513" s="53">
        <v>907</v>
      </c>
      <c r="C513" s="48" t="s">
        <v>28</v>
      </c>
      <c r="D513" s="48" t="s">
        <v>33</v>
      </c>
      <c r="E513" s="48" t="s">
        <v>450</v>
      </c>
      <c r="F513" s="48"/>
      <c r="G513" s="119">
        <f t="shared" si="172"/>
        <v>27.9</v>
      </c>
      <c r="H513" s="119">
        <f t="shared" si="172"/>
        <v>0</v>
      </c>
      <c r="I513" s="119">
        <f t="shared" si="172"/>
        <v>0</v>
      </c>
      <c r="J513" s="239"/>
      <c r="K513" s="239"/>
      <c r="L513" s="239"/>
      <c r="M513" s="239"/>
      <c r="N513" s="239"/>
      <c r="O513" s="239"/>
      <c r="P513" s="239"/>
      <c r="Q513" s="239"/>
      <c r="R513" s="239"/>
      <c r="S513" s="239"/>
      <c r="T513" s="239"/>
    </row>
    <row r="514" spans="1:20" s="82" customFormat="1" ht="25.5" x14ac:dyDescent="0.25">
      <c r="A514" s="24" t="s">
        <v>226</v>
      </c>
      <c r="B514" s="53">
        <v>907</v>
      </c>
      <c r="C514" s="48" t="s">
        <v>28</v>
      </c>
      <c r="D514" s="48" t="s">
        <v>33</v>
      </c>
      <c r="E514" s="48" t="s">
        <v>450</v>
      </c>
      <c r="F514" s="48" t="s">
        <v>59</v>
      </c>
      <c r="G514" s="119">
        <v>27.9</v>
      </c>
      <c r="H514" s="119">
        <v>0</v>
      </c>
      <c r="I514" s="119">
        <v>0</v>
      </c>
      <c r="J514" s="239"/>
      <c r="K514" s="239"/>
      <c r="L514" s="239"/>
      <c r="M514" s="239"/>
      <c r="N514" s="239"/>
      <c r="O514" s="239"/>
      <c r="P514" s="239"/>
      <c r="Q514" s="239"/>
      <c r="R514" s="239"/>
      <c r="S514" s="239"/>
      <c r="T514" s="239"/>
    </row>
    <row r="515" spans="1:20" s="82" customFormat="1" x14ac:dyDescent="0.25">
      <c r="A515" s="24" t="s">
        <v>805</v>
      </c>
      <c r="B515" s="53">
        <v>907</v>
      </c>
      <c r="C515" s="48" t="s">
        <v>28</v>
      </c>
      <c r="D515" s="48" t="s">
        <v>33</v>
      </c>
      <c r="E515" s="48" t="s">
        <v>448</v>
      </c>
      <c r="F515" s="48"/>
      <c r="G515" s="119">
        <f t="shared" ref="G515:I516" si="173">G516</f>
        <v>2265.9</v>
      </c>
      <c r="H515" s="119">
        <f t="shared" si="173"/>
        <v>859.3</v>
      </c>
      <c r="I515" s="119">
        <f t="shared" si="173"/>
        <v>859.7</v>
      </c>
      <c r="J515" s="239"/>
      <c r="K515" s="239"/>
      <c r="L515" s="239"/>
      <c r="M515" s="239"/>
      <c r="N515" s="239"/>
      <c r="O515" s="239"/>
      <c r="P515" s="239"/>
      <c r="Q515" s="239"/>
      <c r="R515" s="239"/>
      <c r="S515" s="239"/>
      <c r="T515" s="239"/>
    </row>
    <row r="516" spans="1:20" s="82" customFormat="1" x14ac:dyDescent="0.25">
      <c r="A516" s="24" t="s">
        <v>453</v>
      </c>
      <c r="B516" s="53">
        <v>907</v>
      </c>
      <c r="C516" s="48" t="s">
        <v>28</v>
      </c>
      <c r="D516" s="48" t="s">
        <v>33</v>
      </c>
      <c r="E516" s="48" t="s">
        <v>452</v>
      </c>
      <c r="F516" s="48"/>
      <c r="G516" s="119">
        <f t="shared" si="173"/>
        <v>2265.9</v>
      </c>
      <c r="H516" s="119">
        <f t="shared" si="173"/>
        <v>859.3</v>
      </c>
      <c r="I516" s="119">
        <f t="shared" si="173"/>
        <v>859.7</v>
      </c>
      <c r="J516" s="239"/>
      <c r="K516" s="239"/>
      <c r="L516" s="239"/>
      <c r="M516" s="239"/>
      <c r="N516" s="239"/>
      <c r="O516" s="239"/>
      <c r="P516" s="239"/>
      <c r="Q516" s="239"/>
      <c r="R516" s="239"/>
      <c r="S516" s="239"/>
      <c r="T516" s="239"/>
    </row>
    <row r="517" spans="1:20" s="82" customFormat="1" ht="30" customHeight="1" x14ac:dyDescent="0.25">
      <c r="A517" s="24" t="s">
        <v>226</v>
      </c>
      <c r="B517" s="53">
        <v>907</v>
      </c>
      <c r="C517" s="48" t="s">
        <v>28</v>
      </c>
      <c r="D517" s="48" t="s">
        <v>33</v>
      </c>
      <c r="E517" s="48" t="s">
        <v>452</v>
      </c>
      <c r="F517" s="48" t="s">
        <v>59</v>
      </c>
      <c r="G517" s="119">
        <v>2265.9</v>
      </c>
      <c r="H517" s="119">
        <v>859.3</v>
      </c>
      <c r="I517" s="119">
        <v>859.7</v>
      </c>
      <c r="J517" s="239"/>
      <c r="K517" s="239"/>
      <c r="L517" s="239"/>
      <c r="M517" s="239"/>
      <c r="N517" s="239"/>
      <c r="O517" s="239"/>
      <c r="P517" s="239"/>
      <c r="Q517" s="239"/>
      <c r="R517" s="239"/>
      <c r="S517" s="239"/>
      <c r="T517" s="239"/>
    </row>
    <row r="518" spans="1:20" s="82" customFormat="1" x14ac:dyDescent="0.25">
      <c r="A518" s="24" t="s">
        <v>94</v>
      </c>
      <c r="B518" s="53">
        <v>907</v>
      </c>
      <c r="C518" s="48" t="s">
        <v>28</v>
      </c>
      <c r="D518" s="48" t="s">
        <v>33</v>
      </c>
      <c r="E518" s="48" t="s">
        <v>120</v>
      </c>
      <c r="F518" s="48"/>
      <c r="G518" s="119">
        <f>G519</f>
        <v>57.6</v>
      </c>
      <c r="H518" s="119">
        <f t="shared" ref="H518:I519" si="174">H519</f>
        <v>57.6</v>
      </c>
      <c r="I518" s="119">
        <f t="shared" si="174"/>
        <v>57.6</v>
      </c>
      <c r="J518" s="239"/>
      <c r="K518" s="239"/>
      <c r="L518" s="239"/>
      <c r="M518" s="239"/>
      <c r="N518" s="239"/>
      <c r="O518" s="239"/>
      <c r="P518" s="239"/>
      <c r="Q518" s="239"/>
      <c r="R518" s="239"/>
      <c r="S518" s="239"/>
      <c r="T518" s="239"/>
    </row>
    <row r="519" spans="1:20" s="82" customFormat="1" x14ac:dyDescent="0.25">
      <c r="A519" s="24" t="s">
        <v>379</v>
      </c>
      <c r="B519" s="53">
        <v>907</v>
      </c>
      <c r="C519" s="48" t="s">
        <v>28</v>
      </c>
      <c r="D519" s="48" t="s">
        <v>33</v>
      </c>
      <c r="E519" s="48" t="s">
        <v>380</v>
      </c>
      <c r="F519" s="48"/>
      <c r="G519" s="119">
        <f>G520</f>
        <v>57.6</v>
      </c>
      <c r="H519" s="119">
        <f t="shared" si="174"/>
        <v>57.6</v>
      </c>
      <c r="I519" s="119">
        <f t="shared" si="174"/>
        <v>57.6</v>
      </c>
      <c r="J519" s="239"/>
      <c r="K519" s="239"/>
      <c r="L519" s="239"/>
      <c r="M519" s="239"/>
      <c r="N519" s="239"/>
      <c r="O519" s="239"/>
      <c r="P519" s="239"/>
      <c r="Q519" s="239"/>
      <c r="R519" s="239"/>
      <c r="S519" s="239"/>
      <c r="T519" s="239"/>
    </row>
    <row r="520" spans="1:20" s="82" customFormat="1" ht="25.5" x14ac:dyDescent="0.25">
      <c r="A520" s="24" t="s">
        <v>226</v>
      </c>
      <c r="B520" s="53">
        <v>907</v>
      </c>
      <c r="C520" s="48" t="s">
        <v>28</v>
      </c>
      <c r="D520" s="48" t="s">
        <v>33</v>
      </c>
      <c r="E520" s="48" t="s">
        <v>380</v>
      </c>
      <c r="F520" s="48" t="s">
        <v>59</v>
      </c>
      <c r="G520" s="119">
        <f>57.6</f>
        <v>57.6</v>
      </c>
      <c r="H520" s="119">
        <f t="shared" ref="H520:I520" si="175">57.6</f>
        <v>57.6</v>
      </c>
      <c r="I520" s="119">
        <f t="shared" si="175"/>
        <v>57.6</v>
      </c>
      <c r="J520" s="239"/>
      <c r="K520" s="239"/>
      <c r="L520" s="239"/>
      <c r="M520" s="239"/>
      <c r="N520" s="239"/>
      <c r="O520" s="239"/>
      <c r="P520" s="239"/>
      <c r="Q520" s="239"/>
      <c r="R520" s="239"/>
      <c r="S520" s="239"/>
      <c r="T520" s="239"/>
    </row>
    <row r="521" spans="1:20" s="82" customFormat="1" ht="36.75" customHeight="1" x14ac:dyDescent="0.25">
      <c r="A521" s="86" t="s">
        <v>20</v>
      </c>
      <c r="B521" s="52">
        <v>908</v>
      </c>
      <c r="C521" s="44"/>
      <c r="D521" s="44"/>
      <c r="E521" s="44"/>
      <c r="F521" s="44"/>
      <c r="G521" s="116">
        <f>G522+G552+G559+G576</f>
        <v>294652.5</v>
      </c>
      <c r="H521" s="116">
        <f>H522+H552+H559+H576</f>
        <v>260965.10000000003</v>
      </c>
      <c r="I521" s="116">
        <f>I522+I552+I559+I576</f>
        <v>226125.4</v>
      </c>
      <c r="J521" s="154"/>
      <c r="K521" s="154"/>
      <c r="L521" s="154"/>
      <c r="M521" s="239"/>
      <c r="N521" s="239"/>
      <c r="O521" s="239"/>
      <c r="P521" s="239"/>
      <c r="Q521" s="239"/>
      <c r="R521" s="239"/>
      <c r="S521" s="239"/>
      <c r="T521" s="239"/>
    </row>
    <row r="522" spans="1:20" s="82" customFormat="1" x14ac:dyDescent="0.25">
      <c r="A522" s="24" t="s">
        <v>12</v>
      </c>
      <c r="B522" s="53">
        <v>908</v>
      </c>
      <c r="C522" s="48" t="s">
        <v>26</v>
      </c>
      <c r="D522" s="48"/>
      <c r="E522" s="48"/>
      <c r="F522" s="48"/>
      <c r="G522" s="119">
        <f>G523</f>
        <v>56974.600000000006</v>
      </c>
      <c r="H522" s="119">
        <f t="shared" ref="H522:I522" si="176">H523</f>
        <v>58604.900000000009</v>
      </c>
      <c r="I522" s="119">
        <f t="shared" si="176"/>
        <v>60357.500000000007</v>
      </c>
      <c r="J522" s="229"/>
      <c r="K522" s="229"/>
      <c r="L522" s="229"/>
      <c r="M522" s="239"/>
      <c r="N522" s="239"/>
      <c r="O522" s="239"/>
      <c r="P522" s="239"/>
      <c r="Q522" s="239"/>
      <c r="R522" s="239"/>
      <c r="S522" s="239"/>
      <c r="T522" s="239"/>
    </row>
    <row r="523" spans="1:20" s="82" customFormat="1" x14ac:dyDescent="0.25">
      <c r="A523" s="24" t="s">
        <v>206</v>
      </c>
      <c r="B523" s="53">
        <v>908</v>
      </c>
      <c r="C523" s="48" t="s">
        <v>26</v>
      </c>
      <c r="D523" s="48" t="s">
        <v>48</v>
      </c>
      <c r="E523" s="48"/>
      <c r="F523" s="48"/>
      <c r="G523" s="119">
        <f>G530+G544+G524</f>
        <v>56974.600000000006</v>
      </c>
      <c r="H523" s="119">
        <f t="shared" ref="H523:I523" si="177">H530+H544+H524</f>
        <v>58604.900000000009</v>
      </c>
      <c r="I523" s="119">
        <f t="shared" si="177"/>
        <v>60357.500000000007</v>
      </c>
      <c r="J523" s="239"/>
      <c r="K523" s="239"/>
      <c r="L523" s="239"/>
      <c r="M523" s="239"/>
      <c r="N523" s="239"/>
      <c r="O523" s="239"/>
      <c r="P523" s="239"/>
      <c r="Q523" s="239"/>
      <c r="R523" s="239"/>
      <c r="S523" s="239"/>
      <c r="T523" s="239"/>
    </row>
    <row r="524" spans="1:20" s="82" customFormat="1" ht="25.5" x14ac:dyDescent="0.25">
      <c r="A524" s="23" t="s">
        <v>546</v>
      </c>
      <c r="B524" s="53">
        <v>908</v>
      </c>
      <c r="C524" s="48" t="s">
        <v>26</v>
      </c>
      <c r="D524" s="48" t="s">
        <v>48</v>
      </c>
      <c r="E524" s="48" t="s">
        <v>143</v>
      </c>
      <c r="F524" s="48"/>
      <c r="G524" s="119">
        <f>G525</f>
        <v>2068.8000000000002</v>
      </c>
      <c r="H524" s="119">
        <f t="shared" ref="H524:I524" si="178">H525</f>
        <v>2068.8000000000002</v>
      </c>
      <c r="I524" s="119">
        <f t="shared" si="178"/>
        <v>2068.8000000000002</v>
      </c>
      <c r="J524" s="239"/>
      <c r="K524" s="239"/>
      <c r="L524" s="239"/>
      <c r="M524" s="239"/>
      <c r="N524" s="239"/>
      <c r="O524" s="239"/>
      <c r="P524" s="239"/>
      <c r="Q524" s="239"/>
      <c r="R524" s="239"/>
      <c r="S524" s="239"/>
      <c r="T524" s="239"/>
    </row>
    <row r="525" spans="1:20" s="82" customFormat="1" ht="38.25" x14ac:dyDescent="0.25">
      <c r="A525" s="23" t="s">
        <v>809</v>
      </c>
      <c r="B525" s="53">
        <v>908</v>
      </c>
      <c r="C525" s="48" t="s">
        <v>26</v>
      </c>
      <c r="D525" s="48" t="s">
        <v>48</v>
      </c>
      <c r="E525" s="48" t="s">
        <v>144</v>
      </c>
      <c r="F525" s="48"/>
      <c r="G525" s="119">
        <f>G526+G528</f>
        <v>2068.8000000000002</v>
      </c>
      <c r="H525" s="119">
        <f t="shared" ref="H525:I525" si="179">H526+H528</f>
        <v>2068.8000000000002</v>
      </c>
      <c r="I525" s="119">
        <f t="shared" si="179"/>
        <v>2068.8000000000002</v>
      </c>
      <c r="J525" s="239"/>
      <c r="K525" s="239"/>
      <c r="L525" s="239"/>
      <c r="M525" s="239"/>
      <c r="N525" s="239"/>
      <c r="O525" s="239"/>
      <c r="P525" s="239"/>
      <c r="Q525" s="239"/>
      <c r="R525" s="239"/>
      <c r="S525" s="239"/>
      <c r="T525" s="239"/>
    </row>
    <row r="526" spans="1:20" s="82" customFormat="1" ht="38.25" x14ac:dyDescent="0.25">
      <c r="A526" s="24" t="s">
        <v>483</v>
      </c>
      <c r="B526" s="53">
        <v>908</v>
      </c>
      <c r="C526" s="48" t="s">
        <v>26</v>
      </c>
      <c r="D526" s="48" t="s">
        <v>48</v>
      </c>
      <c r="E526" s="48" t="s">
        <v>547</v>
      </c>
      <c r="F526" s="48"/>
      <c r="G526" s="119">
        <f>G527</f>
        <v>1909</v>
      </c>
      <c r="H526" s="119">
        <f t="shared" ref="H526:I526" si="180">H527</f>
        <v>1909</v>
      </c>
      <c r="I526" s="119">
        <f t="shared" si="180"/>
        <v>1909</v>
      </c>
      <c r="J526" s="239"/>
      <c r="K526" s="239"/>
      <c r="L526" s="239"/>
      <c r="M526" s="239"/>
      <c r="N526" s="239"/>
      <c r="O526" s="239"/>
      <c r="P526" s="239"/>
      <c r="Q526" s="239"/>
      <c r="R526" s="239"/>
      <c r="S526" s="239"/>
      <c r="T526" s="239"/>
    </row>
    <row r="527" spans="1:20" s="82" customFormat="1" ht="25.5" x14ac:dyDescent="0.25">
      <c r="A527" s="24" t="s">
        <v>226</v>
      </c>
      <c r="B527" s="53">
        <v>908</v>
      </c>
      <c r="C527" s="48" t="s">
        <v>26</v>
      </c>
      <c r="D527" s="48" t="s">
        <v>48</v>
      </c>
      <c r="E527" s="48" t="s">
        <v>547</v>
      </c>
      <c r="F527" s="48" t="s">
        <v>59</v>
      </c>
      <c r="G527" s="119">
        <v>1909</v>
      </c>
      <c r="H527" s="119">
        <v>1909</v>
      </c>
      <c r="I527" s="119">
        <v>1909</v>
      </c>
      <c r="J527" s="239"/>
      <c r="K527" s="239"/>
      <c r="L527" s="239"/>
      <c r="M527" s="239"/>
      <c r="N527" s="239"/>
      <c r="O527" s="239"/>
      <c r="P527" s="239"/>
      <c r="Q527" s="239"/>
      <c r="R527" s="239"/>
      <c r="S527" s="239"/>
      <c r="T527" s="239"/>
    </row>
    <row r="528" spans="1:20" s="82" customFormat="1" ht="38.25" x14ac:dyDescent="0.25">
      <c r="A528" s="24" t="s">
        <v>710</v>
      </c>
      <c r="B528" s="53">
        <v>908</v>
      </c>
      <c r="C528" s="48" t="s">
        <v>26</v>
      </c>
      <c r="D528" s="48" t="s">
        <v>48</v>
      </c>
      <c r="E528" s="48" t="s">
        <v>709</v>
      </c>
      <c r="F528" s="48"/>
      <c r="G528" s="119">
        <f>G529</f>
        <v>159.80000000000001</v>
      </c>
      <c r="H528" s="119">
        <f t="shared" ref="H528" si="181">H529</f>
        <v>159.80000000000001</v>
      </c>
      <c r="I528" s="119">
        <f t="shared" ref="I528" si="182">I529</f>
        <v>159.80000000000001</v>
      </c>
      <c r="J528" s="239"/>
      <c r="K528" s="239"/>
      <c r="L528" s="239"/>
      <c r="M528" s="239"/>
      <c r="N528" s="239"/>
      <c r="O528" s="239"/>
      <c r="P528" s="239"/>
      <c r="Q528" s="239"/>
      <c r="R528" s="239"/>
      <c r="S528" s="239"/>
      <c r="T528" s="239"/>
    </row>
    <row r="529" spans="1:20" s="82" customFormat="1" ht="25.5" x14ac:dyDescent="0.25">
      <c r="A529" s="24" t="s">
        <v>226</v>
      </c>
      <c r="B529" s="53">
        <v>908</v>
      </c>
      <c r="C529" s="48" t="s">
        <v>26</v>
      </c>
      <c r="D529" s="48" t="s">
        <v>48</v>
      </c>
      <c r="E529" s="48" t="s">
        <v>709</v>
      </c>
      <c r="F529" s="48" t="s">
        <v>59</v>
      </c>
      <c r="G529" s="119">
        <v>159.80000000000001</v>
      </c>
      <c r="H529" s="119">
        <v>159.80000000000001</v>
      </c>
      <c r="I529" s="119">
        <v>159.80000000000001</v>
      </c>
      <c r="J529" s="239"/>
      <c r="K529" s="239"/>
      <c r="L529" s="239"/>
      <c r="M529" s="239"/>
      <c r="N529" s="239"/>
      <c r="O529" s="239"/>
      <c r="P529" s="239"/>
      <c r="Q529" s="239"/>
      <c r="R529" s="239"/>
      <c r="S529" s="239"/>
      <c r="T529" s="239"/>
    </row>
    <row r="530" spans="1:20" s="82" customFormat="1" ht="25.5" x14ac:dyDescent="0.25">
      <c r="A530" s="24" t="s">
        <v>403</v>
      </c>
      <c r="B530" s="53">
        <v>908</v>
      </c>
      <c r="C530" s="48" t="s">
        <v>26</v>
      </c>
      <c r="D530" s="48" t="s">
        <v>48</v>
      </c>
      <c r="E530" s="48" t="s">
        <v>210</v>
      </c>
      <c r="F530" s="48"/>
      <c r="G530" s="119">
        <f>G531+G539</f>
        <v>51685.5</v>
      </c>
      <c r="H530" s="119">
        <f>H531+H539</f>
        <v>53717.600000000006</v>
      </c>
      <c r="I530" s="119">
        <f>I531+I539</f>
        <v>55470.200000000004</v>
      </c>
      <c r="J530" s="239"/>
      <c r="K530" s="239"/>
      <c r="L530" s="239"/>
      <c r="M530" s="239"/>
      <c r="N530" s="239"/>
      <c r="O530" s="239"/>
      <c r="P530" s="239"/>
      <c r="Q530" s="239"/>
      <c r="R530" s="239"/>
      <c r="S530" s="239"/>
      <c r="T530" s="239"/>
    </row>
    <row r="531" spans="1:20" s="82" customFormat="1" ht="25.5" x14ac:dyDescent="0.25">
      <c r="A531" s="24" t="s">
        <v>765</v>
      </c>
      <c r="B531" s="53">
        <v>908</v>
      </c>
      <c r="C531" s="48" t="s">
        <v>26</v>
      </c>
      <c r="D531" s="48" t="s">
        <v>48</v>
      </c>
      <c r="E531" s="48" t="s">
        <v>404</v>
      </c>
      <c r="F531" s="48"/>
      <c r="G531" s="119">
        <f>G532+G535</f>
        <v>5574.9999999999991</v>
      </c>
      <c r="H531" s="119">
        <f>H532+H535</f>
        <v>5826.7999999999993</v>
      </c>
      <c r="I531" s="119">
        <f>I532+I535</f>
        <v>5729.4</v>
      </c>
      <c r="J531" s="239"/>
      <c r="K531" s="239"/>
      <c r="L531" s="239"/>
      <c r="M531" s="239"/>
      <c r="N531" s="239"/>
      <c r="O531" s="239"/>
      <c r="P531" s="239"/>
      <c r="Q531" s="239"/>
      <c r="R531" s="239"/>
      <c r="S531" s="239"/>
      <c r="T531" s="239"/>
    </row>
    <row r="532" spans="1:20" s="82" customFormat="1" ht="42" customHeight="1" x14ac:dyDescent="0.25">
      <c r="A532" s="24" t="s">
        <v>806</v>
      </c>
      <c r="B532" s="53">
        <v>908</v>
      </c>
      <c r="C532" s="48" t="s">
        <v>26</v>
      </c>
      <c r="D532" s="48" t="s">
        <v>48</v>
      </c>
      <c r="E532" s="48" t="s">
        <v>405</v>
      </c>
      <c r="F532" s="48"/>
      <c r="G532" s="119">
        <f>G533</f>
        <v>897.4</v>
      </c>
      <c r="H532" s="119">
        <f>H533</f>
        <v>897.4</v>
      </c>
      <c r="I532" s="119">
        <f>I533</f>
        <v>800</v>
      </c>
      <c r="J532" s="239"/>
      <c r="K532" s="239"/>
      <c r="L532" s="239"/>
      <c r="M532" s="239"/>
      <c r="N532" s="239"/>
      <c r="O532" s="239"/>
      <c r="P532" s="239"/>
      <c r="Q532" s="239"/>
      <c r="R532" s="239"/>
      <c r="S532" s="239"/>
      <c r="T532" s="239"/>
    </row>
    <row r="533" spans="1:20" s="82" customFormat="1" ht="30.75" customHeight="1" x14ac:dyDescent="0.25">
      <c r="A533" s="24" t="s">
        <v>213</v>
      </c>
      <c r="B533" s="53">
        <v>908</v>
      </c>
      <c r="C533" s="48" t="s">
        <v>26</v>
      </c>
      <c r="D533" s="48" t="s">
        <v>48</v>
      </c>
      <c r="E533" s="48" t="s">
        <v>406</v>
      </c>
      <c r="F533" s="48"/>
      <c r="G533" s="119">
        <f>G534</f>
        <v>897.4</v>
      </c>
      <c r="H533" s="119">
        <f t="shared" ref="H533:I533" si="183">H534</f>
        <v>897.4</v>
      </c>
      <c r="I533" s="119">
        <f t="shared" si="183"/>
        <v>800</v>
      </c>
      <c r="J533" s="239"/>
      <c r="K533" s="239"/>
      <c r="L533" s="239"/>
      <c r="M533" s="239"/>
      <c r="N533" s="239"/>
      <c r="O533" s="239"/>
      <c r="P533" s="239"/>
      <c r="Q533" s="239"/>
      <c r="R533" s="239"/>
      <c r="S533" s="239"/>
      <c r="T533" s="239"/>
    </row>
    <row r="534" spans="1:20" s="82" customFormat="1" ht="27" customHeight="1" x14ac:dyDescent="0.25">
      <c r="A534" s="24" t="s">
        <v>226</v>
      </c>
      <c r="B534" s="53">
        <v>908</v>
      </c>
      <c r="C534" s="48" t="s">
        <v>26</v>
      </c>
      <c r="D534" s="48" t="s">
        <v>48</v>
      </c>
      <c r="E534" s="48" t="s">
        <v>406</v>
      </c>
      <c r="F534" s="48" t="s">
        <v>59</v>
      </c>
      <c r="G534" s="119">
        <v>897.4</v>
      </c>
      <c r="H534" s="119">
        <v>897.4</v>
      </c>
      <c r="I534" s="119">
        <v>800</v>
      </c>
      <c r="J534" s="184"/>
      <c r="K534" s="239"/>
      <c r="L534" s="239"/>
      <c r="M534" s="239"/>
      <c r="N534" s="239"/>
      <c r="O534" s="239"/>
      <c r="P534" s="239"/>
      <c r="Q534" s="239"/>
      <c r="R534" s="239"/>
      <c r="S534" s="239"/>
      <c r="T534" s="239"/>
    </row>
    <row r="535" spans="1:20" s="82" customFormat="1" ht="29.25" customHeight="1" x14ac:dyDescent="0.25">
      <c r="A535" s="24" t="s">
        <v>807</v>
      </c>
      <c r="B535" s="53">
        <v>908</v>
      </c>
      <c r="C535" s="48" t="s">
        <v>26</v>
      </c>
      <c r="D535" s="48" t="s">
        <v>48</v>
      </c>
      <c r="E535" s="48" t="s">
        <v>407</v>
      </c>
      <c r="F535" s="48"/>
      <c r="G535" s="119">
        <f>G536</f>
        <v>4677.5999999999995</v>
      </c>
      <c r="H535" s="119">
        <f>H536</f>
        <v>4929.3999999999996</v>
      </c>
      <c r="I535" s="119">
        <f>I536</f>
        <v>4929.3999999999996</v>
      </c>
      <c r="J535" s="239"/>
      <c r="K535" s="239"/>
      <c r="L535" s="239"/>
      <c r="M535" s="239"/>
      <c r="N535" s="239"/>
      <c r="O535" s="239"/>
      <c r="P535" s="239"/>
      <c r="Q535" s="239"/>
      <c r="R535" s="239"/>
      <c r="S535" s="239"/>
      <c r="T535" s="239"/>
    </row>
    <row r="536" spans="1:20" s="82" customFormat="1" x14ac:dyDescent="0.25">
      <c r="A536" s="24" t="s">
        <v>214</v>
      </c>
      <c r="B536" s="53">
        <v>908</v>
      </c>
      <c r="C536" s="48" t="s">
        <v>26</v>
      </c>
      <c r="D536" s="48" t="s">
        <v>48</v>
      </c>
      <c r="E536" s="48" t="s">
        <v>408</v>
      </c>
      <c r="F536" s="48"/>
      <c r="G536" s="119">
        <f>G537+G538</f>
        <v>4677.5999999999995</v>
      </c>
      <c r="H536" s="119">
        <f>H537+H538</f>
        <v>4929.3999999999996</v>
      </c>
      <c r="I536" s="119">
        <f>I537+I538</f>
        <v>4929.3999999999996</v>
      </c>
      <c r="J536" s="239"/>
      <c r="K536" s="239"/>
      <c r="L536" s="239"/>
      <c r="M536" s="239"/>
      <c r="N536" s="239"/>
      <c r="O536" s="239"/>
      <c r="P536" s="239"/>
      <c r="Q536" s="239"/>
      <c r="R536" s="239"/>
      <c r="S536" s="239"/>
      <c r="T536" s="239"/>
    </row>
    <row r="537" spans="1:20" s="82" customFormat="1" ht="29.25" customHeight="1" x14ac:dyDescent="0.25">
      <c r="A537" s="24" t="s">
        <v>226</v>
      </c>
      <c r="B537" s="53">
        <v>908</v>
      </c>
      <c r="C537" s="48" t="s">
        <v>26</v>
      </c>
      <c r="D537" s="48" t="s">
        <v>48</v>
      </c>
      <c r="E537" s="48" t="s">
        <v>408</v>
      </c>
      <c r="F537" s="48" t="s">
        <v>59</v>
      </c>
      <c r="G537" s="119">
        <f>4817-251.8</f>
        <v>4565.2</v>
      </c>
      <c r="H537" s="119">
        <v>4817</v>
      </c>
      <c r="I537" s="119">
        <v>4817</v>
      </c>
      <c r="J537" s="162"/>
      <c r="K537" s="239"/>
      <c r="L537" s="239"/>
      <c r="M537" s="239"/>
      <c r="N537" s="239"/>
      <c r="O537" s="239"/>
      <c r="P537" s="239"/>
      <c r="Q537" s="239"/>
      <c r="R537" s="239"/>
      <c r="S537" s="239"/>
      <c r="T537" s="239"/>
    </row>
    <row r="538" spans="1:20" s="82" customFormat="1" x14ac:dyDescent="0.25">
      <c r="A538" s="24" t="s">
        <v>95</v>
      </c>
      <c r="B538" s="53">
        <v>908</v>
      </c>
      <c r="C538" s="48" t="s">
        <v>26</v>
      </c>
      <c r="D538" s="48" t="s">
        <v>48</v>
      </c>
      <c r="E538" s="48" t="s">
        <v>408</v>
      </c>
      <c r="F538" s="48" t="s">
        <v>62</v>
      </c>
      <c r="G538" s="119">
        <v>112.4</v>
      </c>
      <c r="H538" s="119">
        <v>112.4</v>
      </c>
      <c r="I538" s="119">
        <v>112.4</v>
      </c>
      <c r="J538" s="239"/>
      <c r="K538" s="239"/>
      <c r="L538" s="239"/>
      <c r="M538" s="239"/>
      <c r="N538" s="239"/>
      <c r="O538" s="239"/>
      <c r="P538" s="239"/>
      <c r="Q538" s="239"/>
      <c r="R538" s="239"/>
      <c r="S538" s="239"/>
      <c r="T538" s="239"/>
    </row>
    <row r="539" spans="1:20" s="82" customFormat="1" ht="25.5" x14ac:dyDescent="0.25">
      <c r="A539" s="24" t="s">
        <v>766</v>
      </c>
      <c r="B539" s="53">
        <v>908</v>
      </c>
      <c r="C539" s="48" t="s">
        <v>26</v>
      </c>
      <c r="D539" s="48" t="s">
        <v>48</v>
      </c>
      <c r="E539" s="48" t="s">
        <v>409</v>
      </c>
      <c r="F539" s="48"/>
      <c r="G539" s="119">
        <f t="shared" ref="G539:I540" si="184">G540</f>
        <v>46110.5</v>
      </c>
      <c r="H539" s="119">
        <f t="shared" si="184"/>
        <v>47890.8</v>
      </c>
      <c r="I539" s="119">
        <f t="shared" si="184"/>
        <v>49740.800000000003</v>
      </c>
      <c r="J539" s="239"/>
      <c r="K539" s="239"/>
      <c r="L539" s="239"/>
      <c r="M539" s="239"/>
      <c r="N539" s="239"/>
      <c r="O539" s="239"/>
      <c r="P539" s="239"/>
      <c r="Q539" s="239"/>
      <c r="R539" s="239"/>
      <c r="S539" s="239"/>
      <c r="T539" s="239"/>
    </row>
    <row r="540" spans="1:20" s="82" customFormat="1" ht="41.25" customHeight="1" x14ac:dyDescent="0.25">
      <c r="A540" s="24" t="s">
        <v>808</v>
      </c>
      <c r="B540" s="53">
        <v>908</v>
      </c>
      <c r="C540" s="48" t="s">
        <v>26</v>
      </c>
      <c r="D540" s="48" t="s">
        <v>48</v>
      </c>
      <c r="E540" s="48" t="s">
        <v>410</v>
      </c>
      <c r="F540" s="48"/>
      <c r="G540" s="119">
        <f t="shared" si="184"/>
        <v>46110.5</v>
      </c>
      <c r="H540" s="119">
        <f t="shared" si="184"/>
        <v>47890.8</v>
      </c>
      <c r="I540" s="119">
        <f t="shared" si="184"/>
        <v>49740.800000000003</v>
      </c>
      <c r="J540" s="239"/>
      <c r="K540" s="239"/>
      <c r="L540" s="239"/>
      <c r="M540" s="239"/>
      <c r="N540" s="239"/>
      <c r="O540" s="239"/>
      <c r="P540" s="239"/>
      <c r="Q540" s="239"/>
      <c r="R540" s="239"/>
      <c r="S540" s="239"/>
      <c r="T540" s="239"/>
    </row>
    <row r="541" spans="1:20" s="82" customFormat="1" x14ac:dyDescent="0.25">
      <c r="A541" s="24" t="s">
        <v>138</v>
      </c>
      <c r="B541" s="53">
        <v>908</v>
      </c>
      <c r="C541" s="48" t="s">
        <v>26</v>
      </c>
      <c r="D541" s="48" t="s">
        <v>48</v>
      </c>
      <c r="E541" s="48" t="s">
        <v>411</v>
      </c>
      <c r="F541" s="48"/>
      <c r="G541" s="119">
        <f>G542+G543</f>
        <v>46110.5</v>
      </c>
      <c r="H541" s="119">
        <f t="shared" ref="H541:I541" si="185">H542+H543</f>
        <v>47890.8</v>
      </c>
      <c r="I541" s="119">
        <f t="shared" si="185"/>
        <v>49740.800000000003</v>
      </c>
      <c r="J541" s="239"/>
      <c r="K541" s="239"/>
      <c r="L541" s="239"/>
      <c r="M541" s="239"/>
      <c r="N541" s="239"/>
      <c r="O541" s="239"/>
      <c r="P541" s="239"/>
      <c r="Q541" s="239"/>
      <c r="R541" s="239"/>
      <c r="S541" s="239"/>
      <c r="T541" s="239"/>
    </row>
    <row r="542" spans="1:20" s="82" customFormat="1" ht="42" customHeight="1" x14ac:dyDescent="0.25">
      <c r="A542" s="24" t="s">
        <v>225</v>
      </c>
      <c r="B542" s="53">
        <v>908</v>
      </c>
      <c r="C542" s="48" t="s">
        <v>26</v>
      </c>
      <c r="D542" s="48" t="s">
        <v>48</v>
      </c>
      <c r="E542" s="48" t="s">
        <v>411</v>
      </c>
      <c r="F542" s="48" t="s">
        <v>66</v>
      </c>
      <c r="G542" s="119">
        <v>44499.7</v>
      </c>
      <c r="H542" s="119">
        <v>46280</v>
      </c>
      <c r="I542" s="119">
        <v>48130</v>
      </c>
      <c r="J542" s="239"/>
      <c r="K542" s="239"/>
      <c r="L542" s="239"/>
      <c r="M542" s="239"/>
      <c r="N542" s="239"/>
      <c r="O542" s="239"/>
      <c r="P542" s="239"/>
      <c r="Q542" s="239"/>
      <c r="R542" s="239"/>
      <c r="S542" s="239"/>
      <c r="T542" s="239"/>
    </row>
    <row r="543" spans="1:20" s="82" customFormat="1" ht="33" customHeight="1" x14ac:dyDescent="0.25">
      <c r="A543" s="24" t="s">
        <v>226</v>
      </c>
      <c r="B543" s="53">
        <v>908</v>
      </c>
      <c r="C543" s="48" t="s">
        <v>26</v>
      </c>
      <c r="D543" s="48" t="s">
        <v>48</v>
      </c>
      <c r="E543" s="48" t="s">
        <v>411</v>
      </c>
      <c r="F543" s="48" t="s">
        <v>59</v>
      </c>
      <c r="G543" s="119">
        <v>1610.8</v>
      </c>
      <c r="H543" s="119">
        <v>1610.8</v>
      </c>
      <c r="I543" s="119">
        <v>1610.8</v>
      </c>
      <c r="J543" s="239"/>
      <c r="K543" s="239"/>
      <c r="L543" s="239"/>
      <c r="M543" s="239"/>
      <c r="N543" s="239"/>
      <c r="O543" s="239"/>
      <c r="P543" s="239"/>
      <c r="Q543" s="239"/>
      <c r="R543" s="239"/>
      <c r="S543" s="239"/>
      <c r="T543" s="239"/>
    </row>
    <row r="544" spans="1:20" s="82" customFormat="1" x14ac:dyDescent="0.25">
      <c r="A544" s="24" t="s">
        <v>94</v>
      </c>
      <c r="B544" s="53">
        <v>908</v>
      </c>
      <c r="C544" s="48" t="s">
        <v>26</v>
      </c>
      <c r="D544" s="48" t="s">
        <v>48</v>
      </c>
      <c r="E544" s="48" t="s">
        <v>120</v>
      </c>
      <c r="F544" s="48"/>
      <c r="G544" s="119">
        <f>G547+G550+G545</f>
        <v>3220.3</v>
      </c>
      <c r="H544" s="119">
        <f t="shared" ref="H544:I544" si="186">H547+H550+H545</f>
        <v>2818.5</v>
      </c>
      <c r="I544" s="119">
        <f t="shared" si="186"/>
        <v>2818.5</v>
      </c>
      <c r="J544" s="239"/>
      <c r="K544" s="239"/>
      <c r="L544" s="239"/>
      <c r="M544" s="239"/>
      <c r="N544" s="239"/>
      <c r="O544" s="239"/>
      <c r="P544" s="239"/>
      <c r="Q544" s="239"/>
      <c r="R544" s="239"/>
      <c r="S544" s="239"/>
      <c r="T544" s="239"/>
    </row>
    <row r="545" spans="1:20" s="82" customFormat="1" x14ac:dyDescent="0.25">
      <c r="A545" s="24" t="s">
        <v>379</v>
      </c>
      <c r="B545" s="53">
        <v>908</v>
      </c>
      <c r="C545" s="48" t="s">
        <v>26</v>
      </c>
      <c r="D545" s="48" t="s">
        <v>48</v>
      </c>
      <c r="E545" s="48" t="s">
        <v>380</v>
      </c>
      <c r="F545" s="48"/>
      <c r="G545" s="119">
        <f>G546</f>
        <v>185</v>
      </c>
      <c r="H545" s="119">
        <f t="shared" ref="H545" si="187">H546</f>
        <v>185</v>
      </c>
      <c r="I545" s="119">
        <f t="shared" ref="I545" si="188">I546</f>
        <v>185</v>
      </c>
      <c r="J545" s="239"/>
      <c r="K545" s="239"/>
      <c r="L545" s="239"/>
      <c r="M545" s="239"/>
      <c r="N545" s="239"/>
      <c r="O545" s="239"/>
      <c r="P545" s="239"/>
      <c r="Q545" s="239"/>
      <c r="R545" s="239"/>
      <c r="S545" s="239"/>
      <c r="T545" s="239"/>
    </row>
    <row r="546" spans="1:20" s="82" customFormat="1" ht="25.5" x14ac:dyDescent="0.25">
      <c r="A546" s="24" t="s">
        <v>226</v>
      </c>
      <c r="B546" s="53">
        <v>908</v>
      </c>
      <c r="C546" s="48" t="s">
        <v>26</v>
      </c>
      <c r="D546" s="48" t="s">
        <v>48</v>
      </c>
      <c r="E546" s="48" t="s">
        <v>380</v>
      </c>
      <c r="F546" s="48" t="s">
        <v>59</v>
      </c>
      <c r="G546" s="119">
        <v>185</v>
      </c>
      <c r="H546" s="119">
        <v>185</v>
      </c>
      <c r="I546" s="119">
        <v>185</v>
      </c>
      <c r="J546" s="239"/>
      <c r="K546" s="239"/>
      <c r="L546" s="239"/>
      <c r="M546" s="239"/>
      <c r="N546" s="239"/>
      <c r="O546" s="239"/>
      <c r="P546" s="239"/>
      <c r="Q546" s="239"/>
      <c r="R546" s="239"/>
      <c r="S546" s="239"/>
      <c r="T546" s="239"/>
    </row>
    <row r="547" spans="1:20" s="82" customFormat="1" x14ac:dyDescent="0.25">
      <c r="A547" s="23" t="s">
        <v>133</v>
      </c>
      <c r="B547" s="53">
        <v>908</v>
      </c>
      <c r="C547" s="48" t="s">
        <v>26</v>
      </c>
      <c r="D547" s="48" t="s">
        <v>48</v>
      </c>
      <c r="E547" s="48" t="s">
        <v>231</v>
      </c>
      <c r="F547" s="48"/>
      <c r="G547" s="119">
        <f>G548+G549</f>
        <v>2835.3</v>
      </c>
      <c r="H547" s="119">
        <f t="shared" ref="H547:I547" si="189">H548+H549</f>
        <v>2433.5</v>
      </c>
      <c r="I547" s="119">
        <f t="shared" si="189"/>
        <v>2433.5</v>
      </c>
      <c r="J547" s="185"/>
      <c r="K547" s="239"/>
      <c r="L547" s="239"/>
      <c r="M547" s="239"/>
      <c r="N547" s="239"/>
      <c r="O547" s="239"/>
      <c r="P547" s="239"/>
      <c r="Q547" s="239"/>
      <c r="R547" s="239"/>
      <c r="S547" s="239"/>
      <c r="T547" s="239"/>
    </row>
    <row r="548" spans="1:20" s="82" customFormat="1" ht="27" customHeight="1" x14ac:dyDescent="0.25">
      <c r="A548" s="24" t="s">
        <v>226</v>
      </c>
      <c r="B548" s="53">
        <v>908</v>
      </c>
      <c r="C548" s="48" t="s">
        <v>26</v>
      </c>
      <c r="D548" s="48" t="s">
        <v>48</v>
      </c>
      <c r="E548" s="48" t="s">
        <v>231</v>
      </c>
      <c r="F548" s="48" t="s">
        <v>59</v>
      </c>
      <c r="G548" s="119">
        <v>2433.5</v>
      </c>
      <c r="H548" s="119">
        <v>2433.5</v>
      </c>
      <c r="I548" s="119">
        <v>2433.5</v>
      </c>
      <c r="J548" s="185"/>
      <c r="K548" s="239"/>
      <c r="L548" s="239"/>
      <c r="M548" s="239"/>
      <c r="N548" s="239"/>
      <c r="O548" s="239"/>
      <c r="P548" s="239"/>
      <c r="Q548" s="239"/>
      <c r="R548" s="239"/>
      <c r="S548" s="239"/>
      <c r="T548" s="239"/>
    </row>
    <row r="549" spans="1:20" s="82" customFormat="1" x14ac:dyDescent="0.25">
      <c r="A549" s="24" t="s">
        <v>95</v>
      </c>
      <c r="B549" s="53">
        <v>908</v>
      </c>
      <c r="C549" s="48" t="s">
        <v>26</v>
      </c>
      <c r="D549" s="48" t="s">
        <v>48</v>
      </c>
      <c r="E549" s="48" t="s">
        <v>231</v>
      </c>
      <c r="F549" s="48" t="s">
        <v>62</v>
      </c>
      <c r="G549" s="119">
        <f>150+251.8</f>
        <v>401.8</v>
      </c>
      <c r="H549" s="119">
        <v>0</v>
      </c>
      <c r="I549" s="119">
        <v>0</v>
      </c>
      <c r="J549" s="185"/>
      <c r="K549" s="239"/>
      <c r="L549" s="239"/>
      <c r="M549" s="239"/>
      <c r="N549" s="239"/>
      <c r="O549" s="239"/>
      <c r="P549" s="239"/>
      <c r="Q549" s="239"/>
      <c r="R549" s="239"/>
      <c r="S549" s="239"/>
      <c r="T549" s="239"/>
    </row>
    <row r="550" spans="1:20" s="82" customFormat="1" ht="27" customHeight="1" x14ac:dyDescent="0.25">
      <c r="A550" s="24" t="s">
        <v>331</v>
      </c>
      <c r="B550" s="53">
        <v>908</v>
      </c>
      <c r="C550" s="48" t="s">
        <v>26</v>
      </c>
      <c r="D550" s="48" t="s">
        <v>48</v>
      </c>
      <c r="E550" s="48" t="s">
        <v>332</v>
      </c>
      <c r="F550" s="48"/>
      <c r="G550" s="119">
        <f>G551</f>
        <v>200</v>
      </c>
      <c r="H550" s="119">
        <f t="shared" ref="H550:I550" si="190">H551</f>
        <v>200</v>
      </c>
      <c r="I550" s="119">
        <f t="shared" si="190"/>
        <v>200</v>
      </c>
      <c r="J550" s="185"/>
      <c r="K550" s="239"/>
      <c r="L550" s="239"/>
      <c r="M550" s="239"/>
      <c r="N550" s="239"/>
      <c r="O550" s="239"/>
      <c r="P550" s="239"/>
      <c r="Q550" s="239"/>
      <c r="R550" s="239"/>
      <c r="S550" s="239"/>
      <c r="T550" s="239"/>
    </row>
    <row r="551" spans="1:20" s="82" customFormat="1" x14ac:dyDescent="0.25">
      <c r="A551" s="24" t="s">
        <v>95</v>
      </c>
      <c r="B551" s="53">
        <v>908</v>
      </c>
      <c r="C551" s="48" t="s">
        <v>26</v>
      </c>
      <c r="D551" s="48" t="s">
        <v>48</v>
      </c>
      <c r="E551" s="48" t="s">
        <v>332</v>
      </c>
      <c r="F551" s="48" t="s">
        <v>62</v>
      </c>
      <c r="G551" s="119">
        <v>200</v>
      </c>
      <c r="H551" s="119">
        <v>200</v>
      </c>
      <c r="I551" s="119">
        <v>200</v>
      </c>
      <c r="J551" s="185"/>
      <c r="K551" s="239"/>
      <c r="L551" s="239"/>
      <c r="M551" s="239"/>
      <c r="N551" s="239"/>
      <c r="O551" s="239"/>
      <c r="P551" s="239"/>
      <c r="Q551" s="239"/>
      <c r="R551" s="239"/>
      <c r="S551" s="239"/>
      <c r="T551" s="239"/>
    </row>
    <row r="552" spans="1:20" s="82" customFormat="1" x14ac:dyDescent="0.25">
      <c r="A552" s="24" t="s">
        <v>207</v>
      </c>
      <c r="B552" s="53">
        <v>908</v>
      </c>
      <c r="C552" s="48" t="s">
        <v>29</v>
      </c>
      <c r="D552" s="48"/>
      <c r="E552" s="48"/>
      <c r="F552" s="48"/>
      <c r="G552" s="119">
        <f>G553</f>
        <v>985</v>
      </c>
      <c r="H552" s="119">
        <f t="shared" ref="H552:I552" si="191">H553</f>
        <v>985</v>
      </c>
      <c r="I552" s="119">
        <f t="shared" si="191"/>
        <v>985</v>
      </c>
      <c r="J552" s="239"/>
      <c r="K552" s="239"/>
      <c r="L552" s="239"/>
      <c r="M552" s="239"/>
      <c r="N552" s="239"/>
      <c r="O552" s="239"/>
      <c r="P552" s="239"/>
      <c r="Q552" s="239"/>
      <c r="R552" s="239"/>
      <c r="S552" s="239"/>
      <c r="T552" s="239"/>
    </row>
    <row r="553" spans="1:20" s="82" customFormat="1" x14ac:dyDescent="0.25">
      <c r="A553" s="24" t="s">
        <v>6</v>
      </c>
      <c r="B553" s="53">
        <v>908</v>
      </c>
      <c r="C553" s="48" t="s">
        <v>29</v>
      </c>
      <c r="D553" s="48" t="s">
        <v>36</v>
      </c>
      <c r="E553" s="48"/>
      <c r="F553" s="48"/>
      <c r="G553" s="119">
        <f t="shared" ref="G553:I557" si="192">G554</f>
        <v>985</v>
      </c>
      <c r="H553" s="119">
        <f t="shared" si="192"/>
        <v>985</v>
      </c>
      <c r="I553" s="119">
        <f t="shared" si="192"/>
        <v>985</v>
      </c>
      <c r="J553" s="239"/>
      <c r="K553" s="239"/>
      <c r="L553" s="239"/>
      <c r="M553" s="239"/>
      <c r="N553" s="239"/>
      <c r="O553" s="239"/>
      <c r="P553" s="239"/>
      <c r="Q553" s="239"/>
      <c r="R553" s="239"/>
      <c r="S553" s="239"/>
      <c r="T553" s="239"/>
    </row>
    <row r="554" spans="1:20" s="82" customFormat="1" ht="25.5" x14ac:dyDescent="0.25">
      <c r="A554" s="24" t="s">
        <v>403</v>
      </c>
      <c r="B554" s="53">
        <v>908</v>
      </c>
      <c r="C554" s="48" t="s">
        <v>29</v>
      </c>
      <c r="D554" s="48" t="s">
        <v>36</v>
      </c>
      <c r="E554" s="48" t="s">
        <v>210</v>
      </c>
      <c r="F554" s="48"/>
      <c r="G554" s="119">
        <f t="shared" si="192"/>
        <v>985</v>
      </c>
      <c r="H554" s="119">
        <f t="shared" si="192"/>
        <v>985</v>
      </c>
      <c r="I554" s="119">
        <f t="shared" si="192"/>
        <v>985</v>
      </c>
      <c r="J554" s="239"/>
      <c r="K554" s="239"/>
      <c r="L554" s="239"/>
      <c r="M554" s="239"/>
      <c r="N554" s="239"/>
      <c r="O554" s="239"/>
      <c r="P554" s="239"/>
      <c r="Q554" s="239"/>
      <c r="R554" s="239"/>
      <c r="S554" s="239"/>
      <c r="T554" s="239"/>
    </row>
    <row r="555" spans="1:20" s="82" customFormat="1" ht="25.5" x14ac:dyDescent="0.25">
      <c r="A555" s="24" t="s">
        <v>765</v>
      </c>
      <c r="B555" s="53">
        <v>908</v>
      </c>
      <c r="C555" s="48" t="s">
        <v>29</v>
      </c>
      <c r="D555" s="48" t="s">
        <v>48</v>
      </c>
      <c r="E555" s="48" t="s">
        <v>404</v>
      </c>
      <c r="F555" s="48"/>
      <c r="G555" s="119">
        <f t="shared" si="192"/>
        <v>985</v>
      </c>
      <c r="H555" s="119">
        <f t="shared" si="192"/>
        <v>985</v>
      </c>
      <c r="I555" s="119">
        <f t="shared" si="192"/>
        <v>985</v>
      </c>
      <c r="J555" s="239"/>
      <c r="K555" s="239"/>
      <c r="L555" s="239"/>
      <c r="M555" s="239"/>
      <c r="N555" s="239"/>
      <c r="O555" s="239"/>
      <c r="P555" s="239"/>
      <c r="Q555" s="239"/>
      <c r="R555" s="239"/>
      <c r="S555" s="239"/>
      <c r="T555" s="239"/>
    </row>
    <row r="556" spans="1:20" s="82" customFormat="1" ht="51" x14ac:dyDescent="0.25">
      <c r="A556" s="23" t="s">
        <v>810</v>
      </c>
      <c r="B556" s="53">
        <v>908</v>
      </c>
      <c r="C556" s="48" t="s">
        <v>29</v>
      </c>
      <c r="D556" s="48" t="s">
        <v>36</v>
      </c>
      <c r="E556" s="48" t="s">
        <v>412</v>
      </c>
      <c r="F556" s="48"/>
      <c r="G556" s="119">
        <f t="shared" si="192"/>
        <v>985</v>
      </c>
      <c r="H556" s="119">
        <f t="shared" si="192"/>
        <v>985</v>
      </c>
      <c r="I556" s="119">
        <f t="shared" si="192"/>
        <v>985</v>
      </c>
      <c r="J556" s="239"/>
      <c r="K556" s="239"/>
      <c r="L556" s="239"/>
      <c r="M556" s="239"/>
      <c r="N556" s="239"/>
      <c r="O556" s="239"/>
      <c r="P556" s="239"/>
      <c r="Q556" s="239"/>
      <c r="R556" s="239"/>
      <c r="S556" s="239"/>
      <c r="T556" s="239"/>
    </row>
    <row r="557" spans="1:20" s="82" customFormat="1" ht="27.75" customHeight="1" x14ac:dyDescent="0.25">
      <c r="A557" s="23" t="s">
        <v>229</v>
      </c>
      <c r="B557" s="53">
        <v>908</v>
      </c>
      <c r="C557" s="48" t="s">
        <v>29</v>
      </c>
      <c r="D557" s="48" t="s">
        <v>36</v>
      </c>
      <c r="E557" s="48" t="s">
        <v>413</v>
      </c>
      <c r="F557" s="48"/>
      <c r="G557" s="119">
        <f t="shared" si="192"/>
        <v>985</v>
      </c>
      <c r="H557" s="119">
        <f t="shared" si="192"/>
        <v>985</v>
      </c>
      <c r="I557" s="119">
        <f t="shared" si="192"/>
        <v>985</v>
      </c>
      <c r="J557" s="239"/>
      <c r="K557" s="239"/>
      <c r="L557" s="239"/>
      <c r="M557" s="239"/>
      <c r="N557" s="239"/>
      <c r="O557" s="239"/>
      <c r="P557" s="239"/>
      <c r="Q557" s="239"/>
      <c r="R557" s="239"/>
      <c r="S557" s="239"/>
      <c r="T557" s="239"/>
    </row>
    <row r="558" spans="1:20" s="82" customFormat="1" ht="30.75" customHeight="1" x14ac:dyDescent="0.25">
      <c r="A558" s="24" t="s">
        <v>226</v>
      </c>
      <c r="B558" s="53">
        <v>908</v>
      </c>
      <c r="C558" s="48" t="s">
        <v>29</v>
      </c>
      <c r="D558" s="48" t="s">
        <v>36</v>
      </c>
      <c r="E558" s="48" t="s">
        <v>413</v>
      </c>
      <c r="F558" s="48" t="s">
        <v>59</v>
      </c>
      <c r="G558" s="119">
        <v>985</v>
      </c>
      <c r="H558" s="119">
        <v>985</v>
      </c>
      <c r="I558" s="119">
        <v>985</v>
      </c>
      <c r="J558" s="239"/>
      <c r="K558" s="239"/>
      <c r="L558" s="239"/>
      <c r="M558" s="239"/>
      <c r="N558" s="239"/>
      <c r="O558" s="239"/>
      <c r="P558" s="239"/>
      <c r="Q558" s="239"/>
      <c r="R558" s="239"/>
      <c r="S558" s="239"/>
      <c r="T558" s="239"/>
    </row>
    <row r="559" spans="1:20" s="82" customFormat="1" x14ac:dyDescent="0.25">
      <c r="A559" s="24" t="s">
        <v>21</v>
      </c>
      <c r="B559" s="53">
        <v>908</v>
      </c>
      <c r="C559" s="48" t="s">
        <v>37</v>
      </c>
      <c r="D559" s="48"/>
      <c r="E559" s="48"/>
      <c r="F559" s="48"/>
      <c r="G559" s="119">
        <f>G560</f>
        <v>60165.7</v>
      </c>
      <c r="H559" s="119">
        <f>H560</f>
        <v>48388.5</v>
      </c>
      <c r="I559" s="119">
        <f>I560</f>
        <v>20146.5</v>
      </c>
      <c r="J559" s="239"/>
      <c r="K559" s="239"/>
      <c r="L559" s="239"/>
      <c r="M559" s="239"/>
      <c r="N559" s="239"/>
      <c r="O559" s="239"/>
      <c r="P559" s="239"/>
      <c r="Q559" s="239"/>
      <c r="R559" s="239"/>
      <c r="S559" s="239"/>
      <c r="T559" s="239"/>
    </row>
    <row r="560" spans="1:20" s="82" customFormat="1" x14ac:dyDescent="0.25">
      <c r="A560" s="24" t="s">
        <v>24</v>
      </c>
      <c r="B560" s="53">
        <v>908</v>
      </c>
      <c r="C560" s="48" t="s">
        <v>37</v>
      </c>
      <c r="D560" s="48" t="s">
        <v>26</v>
      </c>
      <c r="E560" s="48"/>
      <c r="F560" s="48"/>
      <c r="G560" s="119">
        <f>G561+G573</f>
        <v>60165.7</v>
      </c>
      <c r="H560" s="119">
        <f>H561+H573</f>
        <v>48388.5</v>
      </c>
      <c r="I560" s="119">
        <f>I561+I573</f>
        <v>20146.5</v>
      </c>
      <c r="J560" s="239"/>
      <c r="K560" s="239"/>
      <c r="L560" s="239"/>
      <c r="M560" s="239"/>
      <c r="N560" s="239"/>
      <c r="O560" s="239"/>
      <c r="P560" s="239"/>
      <c r="Q560" s="239"/>
      <c r="R560" s="239"/>
      <c r="S560" s="239"/>
      <c r="T560" s="239"/>
    </row>
    <row r="561" spans="1:20" s="82" customFormat="1" ht="25.5" x14ac:dyDescent="0.25">
      <c r="A561" s="24" t="s">
        <v>414</v>
      </c>
      <c r="B561" s="53">
        <v>908</v>
      </c>
      <c r="C561" s="48" t="s">
        <v>37</v>
      </c>
      <c r="D561" s="48" t="s">
        <v>26</v>
      </c>
      <c r="E561" s="48" t="s">
        <v>415</v>
      </c>
      <c r="F561" s="48"/>
      <c r="G561" s="119">
        <f>G562+G566</f>
        <v>45112</v>
      </c>
      <c r="H561" s="119">
        <f t="shared" ref="H561:I561" si="193">H562+H566</f>
        <v>33822</v>
      </c>
      <c r="I561" s="119">
        <f t="shared" si="193"/>
        <v>5580</v>
      </c>
      <c r="J561" s="239"/>
      <c r="K561" s="239"/>
      <c r="L561" s="239"/>
      <c r="M561" s="239"/>
      <c r="N561" s="239"/>
      <c r="O561" s="239"/>
      <c r="P561" s="239"/>
      <c r="Q561" s="239"/>
      <c r="R561" s="239"/>
      <c r="S561" s="239"/>
      <c r="T561" s="239"/>
    </row>
    <row r="562" spans="1:20" s="82" customFormat="1" x14ac:dyDescent="0.25">
      <c r="A562" s="24" t="s">
        <v>767</v>
      </c>
      <c r="B562" s="53">
        <v>908</v>
      </c>
      <c r="C562" s="48" t="s">
        <v>37</v>
      </c>
      <c r="D562" s="48" t="s">
        <v>26</v>
      </c>
      <c r="E562" s="48" t="s">
        <v>416</v>
      </c>
      <c r="F562" s="48"/>
      <c r="G562" s="119">
        <f t="shared" ref="G562:I564" si="194">G563</f>
        <v>5580</v>
      </c>
      <c r="H562" s="119">
        <f t="shared" si="194"/>
        <v>5580</v>
      </c>
      <c r="I562" s="119">
        <f t="shared" si="194"/>
        <v>5580</v>
      </c>
      <c r="J562" s="239"/>
      <c r="K562" s="239"/>
      <c r="L562" s="239"/>
      <c r="M562" s="239"/>
      <c r="N562" s="239"/>
      <c r="O562" s="239"/>
      <c r="P562" s="239"/>
      <c r="Q562" s="239"/>
      <c r="R562" s="239"/>
      <c r="S562" s="239"/>
      <c r="T562" s="239"/>
    </row>
    <row r="563" spans="1:20" s="82" customFormat="1" x14ac:dyDescent="0.25">
      <c r="A563" s="24" t="s">
        <v>811</v>
      </c>
      <c r="B563" s="53">
        <v>908</v>
      </c>
      <c r="C563" s="48" t="s">
        <v>37</v>
      </c>
      <c r="D563" s="48" t="s">
        <v>26</v>
      </c>
      <c r="E563" s="48" t="s">
        <v>417</v>
      </c>
      <c r="F563" s="48"/>
      <c r="G563" s="119">
        <f t="shared" si="194"/>
        <v>5580</v>
      </c>
      <c r="H563" s="119">
        <f t="shared" si="194"/>
        <v>5580</v>
      </c>
      <c r="I563" s="119">
        <f t="shared" si="194"/>
        <v>5580</v>
      </c>
      <c r="J563" s="239"/>
      <c r="K563" s="239"/>
      <c r="L563" s="239"/>
      <c r="M563" s="239"/>
      <c r="N563" s="239"/>
      <c r="O563" s="239"/>
      <c r="P563" s="239"/>
      <c r="Q563" s="239"/>
      <c r="R563" s="239"/>
      <c r="S563" s="239"/>
      <c r="T563" s="239"/>
    </row>
    <row r="564" spans="1:20" s="82" customFormat="1" ht="42" customHeight="1" x14ac:dyDescent="0.25">
      <c r="A564" s="24" t="s">
        <v>212</v>
      </c>
      <c r="B564" s="53">
        <v>908</v>
      </c>
      <c r="C564" s="48" t="s">
        <v>37</v>
      </c>
      <c r="D564" s="48" t="s">
        <v>26</v>
      </c>
      <c r="E564" s="48" t="s">
        <v>418</v>
      </c>
      <c r="F564" s="48"/>
      <c r="G564" s="119">
        <f t="shared" si="194"/>
        <v>5580</v>
      </c>
      <c r="H564" s="119">
        <f t="shared" si="194"/>
        <v>5580</v>
      </c>
      <c r="I564" s="119">
        <f t="shared" si="194"/>
        <v>5580</v>
      </c>
      <c r="J564" s="239"/>
      <c r="K564" s="239"/>
      <c r="L564" s="239"/>
      <c r="M564" s="239"/>
      <c r="N564" s="239"/>
      <c r="O564" s="239"/>
      <c r="P564" s="239"/>
      <c r="Q564" s="239"/>
      <c r="R564" s="239"/>
      <c r="S564" s="239"/>
      <c r="T564" s="239"/>
    </row>
    <row r="565" spans="1:20" s="82" customFormat="1" ht="28.5" customHeight="1" x14ac:dyDescent="0.25">
      <c r="A565" s="24" t="s">
        <v>227</v>
      </c>
      <c r="B565" s="53">
        <v>908</v>
      </c>
      <c r="C565" s="48" t="s">
        <v>37</v>
      </c>
      <c r="D565" s="48" t="s">
        <v>26</v>
      </c>
      <c r="E565" s="48" t="s">
        <v>418</v>
      </c>
      <c r="F565" s="48" t="s">
        <v>193</v>
      </c>
      <c r="G565" s="119">
        <v>5580</v>
      </c>
      <c r="H565" s="119">
        <v>5580</v>
      </c>
      <c r="I565" s="119">
        <v>5580</v>
      </c>
      <c r="J565" s="239"/>
      <c r="K565" s="239"/>
      <c r="L565" s="239"/>
      <c r="M565" s="239"/>
      <c r="N565" s="239"/>
      <c r="O565" s="239"/>
      <c r="P565" s="239"/>
      <c r="Q565" s="239"/>
      <c r="R565" s="239"/>
      <c r="S565" s="239"/>
      <c r="T565" s="239"/>
    </row>
    <row r="566" spans="1:20" s="82" customFormat="1" ht="38.25" x14ac:dyDescent="0.25">
      <c r="A566" s="24" t="s">
        <v>768</v>
      </c>
      <c r="B566" s="53">
        <v>908</v>
      </c>
      <c r="C566" s="48" t="s">
        <v>37</v>
      </c>
      <c r="D566" s="48" t="s">
        <v>26</v>
      </c>
      <c r="E566" s="48" t="s">
        <v>616</v>
      </c>
      <c r="F566" s="48"/>
      <c r="G566" s="119">
        <f>G567</f>
        <v>39532</v>
      </c>
      <c r="H566" s="119">
        <f t="shared" ref="H566:I566" si="195">H567</f>
        <v>28242</v>
      </c>
      <c r="I566" s="119">
        <f t="shared" si="195"/>
        <v>0</v>
      </c>
      <c r="J566" s="239"/>
      <c r="K566" s="239"/>
      <c r="L566" s="239"/>
      <c r="M566" s="239"/>
      <c r="N566" s="239"/>
      <c r="O566" s="239"/>
      <c r="P566" s="239"/>
      <c r="Q566" s="239"/>
      <c r="R566" s="239"/>
      <c r="S566" s="239"/>
      <c r="T566" s="239"/>
    </row>
    <row r="567" spans="1:20" s="82" customFormat="1" x14ac:dyDescent="0.25">
      <c r="A567" s="24" t="s">
        <v>934</v>
      </c>
      <c r="B567" s="53">
        <v>908</v>
      </c>
      <c r="C567" s="48" t="s">
        <v>37</v>
      </c>
      <c r="D567" s="48" t="s">
        <v>26</v>
      </c>
      <c r="E567" s="48" t="s">
        <v>933</v>
      </c>
      <c r="F567" s="48"/>
      <c r="G567" s="119">
        <f>G568</f>
        <v>39532</v>
      </c>
      <c r="H567" s="119">
        <f t="shared" ref="H567:I569" si="196">H568</f>
        <v>28242</v>
      </c>
      <c r="I567" s="119">
        <f t="shared" si="196"/>
        <v>0</v>
      </c>
      <c r="J567" s="239"/>
      <c r="K567" s="239"/>
      <c r="L567" s="239"/>
      <c r="M567" s="239"/>
      <c r="N567" s="239"/>
      <c r="O567" s="239"/>
      <c r="P567" s="239"/>
      <c r="Q567" s="239"/>
      <c r="R567" s="239"/>
      <c r="S567" s="239"/>
      <c r="T567" s="239"/>
    </row>
    <row r="568" spans="1:20" s="82" customFormat="1" ht="38.25" x14ac:dyDescent="0.25">
      <c r="A568" s="24" t="s">
        <v>923</v>
      </c>
      <c r="B568" s="53">
        <v>908</v>
      </c>
      <c r="C568" s="48" t="s">
        <v>37</v>
      </c>
      <c r="D568" s="48" t="s">
        <v>26</v>
      </c>
      <c r="E568" s="48" t="s">
        <v>936</v>
      </c>
      <c r="F568" s="48"/>
      <c r="G568" s="119">
        <f>G569+G571</f>
        <v>39532</v>
      </c>
      <c r="H568" s="119">
        <f t="shared" ref="H568:I568" si="197">H569+H571</f>
        <v>28242</v>
      </c>
      <c r="I568" s="119">
        <f t="shared" si="197"/>
        <v>0</v>
      </c>
      <c r="J568" s="239"/>
      <c r="K568" s="239"/>
      <c r="L568" s="239"/>
      <c r="M568" s="239"/>
      <c r="N568" s="239"/>
      <c r="O568" s="239"/>
      <c r="P568" s="239"/>
      <c r="Q568" s="239"/>
      <c r="R568" s="239"/>
      <c r="S568" s="239"/>
      <c r="T568" s="239"/>
    </row>
    <row r="569" spans="1:20" s="82" customFormat="1" ht="38.25" x14ac:dyDescent="0.25">
      <c r="A569" s="24" t="s">
        <v>679</v>
      </c>
      <c r="B569" s="53">
        <v>908</v>
      </c>
      <c r="C569" s="48" t="s">
        <v>37</v>
      </c>
      <c r="D569" s="48" t="s">
        <v>26</v>
      </c>
      <c r="E569" s="48" t="s">
        <v>935</v>
      </c>
      <c r="F569" s="48"/>
      <c r="G569" s="119">
        <f>G570</f>
        <v>28242</v>
      </c>
      <c r="H569" s="119">
        <f t="shared" si="196"/>
        <v>28242</v>
      </c>
      <c r="I569" s="119">
        <f t="shared" si="196"/>
        <v>0</v>
      </c>
      <c r="J569" s="239"/>
      <c r="K569" s="239"/>
      <c r="L569" s="239"/>
      <c r="M569" s="239"/>
      <c r="N569" s="239"/>
      <c r="O569" s="239"/>
      <c r="P569" s="239"/>
      <c r="Q569" s="239"/>
      <c r="R569" s="239"/>
      <c r="S569" s="239"/>
      <c r="T569" s="239"/>
    </row>
    <row r="570" spans="1:20" s="82" customFormat="1" ht="24.75" customHeight="1" x14ac:dyDescent="0.25">
      <c r="A570" s="24" t="s">
        <v>227</v>
      </c>
      <c r="B570" s="53">
        <v>908</v>
      </c>
      <c r="C570" s="48" t="s">
        <v>37</v>
      </c>
      <c r="D570" s="48" t="s">
        <v>26</v>
      </c>
      <c r="E570" s="48" t="s">
        <v>935</v>
      </c>
      <c r="F570" s="48" t="s">
        <v>193</v>
      </c>
      <c r="G570" s="119">
        <v>28242</v>
      </c>
      <c r="H570" s="119">
        <v>28242</v>
      </c>
      <c r="I570" s="119">
        <v>0</v>
      </c>
      <c r="J570" s="239"/>
      <c r="K570" s="239"/>
      <c r="L570" s="239"/>
      <c r="M570" s="239"/>
      <c r="N570" s="239"/>
      <c r="O570" s="239"/>
      <c r="P570" s="239"/>
      <c r="Q570" s="239"/>
      <c r="R570" s="239"/>
      <c r="S570" s="239"/>
      <c r="T570" s="239"/>
    </row>
    <row r="571" spans="1:20" s="82" customFormat="1" ht="24.75" customHeight="1" x14ac:dyDescent="0.25">
      <c r="A571" s="24" t="s">
        <v>1013</v>
      </c>
      <c r="B571" s="53">
        <v>908</v>
      </c>
      <c r="C571" s="48" t="s">
        <v>37</v>
      </c>
      <c r="D571" s="48" t="s">
        <v>26</v>
      </c>
      <c r="E571" s="48" t="s">
        <v>1012</v>
      </c>
      <c r="F571" s="48"/>
      <c r="G571" s="119">
        <f>G572</f>
        <v>11290</v>
      </c>
      <c r="H571" s="119">
        <f t="shared" ref="H571:I571" si="198">H572</f>
        <v>0</v>
      </c>
      <c r="I571" s="119">
        <f t="shared" si="198"/>
        <v>0</v>
      </c>
      <c r="J571" s="239"/>
      <c r="K571" s="239"/>
      <c r="L571" s="239"/>
      <c r="M571" s="239"/>
      <c r="N571" s="239"/>
      <c r="O571" s="239"/>
      <c r="P571" s="239"/>
      <c r="Q571" s="239"/>
      <c r="R571" s="239"/>
      <c r="S571" s="239"/>
      <c r="T571" s="239"/>
    </row>
    <row r="572" spans="1:20" s="82" customFormat="1" ht="24.75" customHeight="1" x14ac:dyDescent="0.25">
      <c r="A572" s="24" t="s">
        <v>227</v>
      </c>
      <c r="B572" s="53">
        <v>908</v>
      </c>
      <c r="C572" s="48" t="s">
        <v>37</v>
      </c>
      <c r="D572" s="48" t="s">
        <v>26</v>
      </c>
      <c r="E572" s="48" t="s">
        <v>1012</v>
      </c>
      <c r="F572" s="48" t="s">
        <v>193</v>
      </c>
      <c r="G572" s="119">
        <f>26290-15000</f>
        <v>11290</v>
      </c>
      <c r="H572" s="119">
        <v>0</v>
      </c>
      <c r="I572" s="119">
        <v>0</v>
      </c>
      <c r="J572" s="239"/>
      <c r="K572" s="239"/>
      <c r="L572" s="239"/>
      <c r="M572" s="239"/>
      <c r="N572" s="239"/>
      <c r="O572" s="239"/>
      <c r="P572" s="239"/>
      <c r="Q572" s="239"/>
      <c r="R572" s="239"/>
      <c r="S572" s="239"/>
      <c r="T572" s="239"/>
    </row>
    <row r="573" spans="1:20" s="82" customFormat="1" x14ac:dyDescent="0.25">
      <c r="A573" s="24" t="s">
        <v>94</v>
      </c>
      <c r="B573" s="53">
        <v>908</v>
      </c>
      <c r="C573" s="48" t="s">
        <v>37</v>
      </c>
      <c r="D573" s="48" t="s">
        <v>26</v>
      </c>
      <c r="E573" s="48" t="s">
        <v>120</v>
      </c>
      <c r="F573" s="48"/>
      <c r="G573" s="119">
        <f t="shared" ref="G573:I574" si="199">G574</f>
        <v>15053.7</v>
      </c>
      <c r="H573" s="119">
        <f t="shared" si="199"/>
        <v>14566.5</v>
      </c>
      <c r="I573" s="119">
        <f t="shared" si="199"/>
        <v>14566.5</v>
      </c>
      <c r="J573" s="239"/>
      <c r="K573" s="239"/>
      <c r="L573" s="239"/>
      <c r="M573" s="239"/>
      <c r="N573" s="239"/>
      <c r="O573" s="239"/>
      <c r="P573" s="239"/>
      <c r="Q573" s="239"/>
      <c r="R573" s="239"/>
      <c r="S573" s="239"/>
      <c r="T573" s="239"/>
    </row>
    <row r="574" spans="1:20" s="82" customFormat="1" ht="30" customHeight="1" x14ac:dyDescent="0.25">
      <c r="A574" s="24" t="s">
        <v>211</v>
      </c>
      <c r="B574" s="53">
        <v>908</v>
      </c>
      <c r="C574" s="48" t="s">
        <v>37</v>
      </c>
      <c r="D574" s="48" t="s">
        <v>26</v>
      </c>
      <c r="E574" s="48" t="s">
        <v>237</v>
      </c>
      <c r="F574" s="48"/>
      <c r="G574" s="119">
        <f t="shared" si="199"/>
        <v>15053.7</v>
      </c>
      <c r="H574" s="119">
        <f t="shared" si="199"/>
        <v>14566.5</v>
      </c>
      <c r="I574" s="119">
        <f t="shared" si="199"/>
        <v>14566.5</v>
      </c>
      <c r="J574" s="239"/>
      <c r="K574" s="239"/>
      <c r="L574" s="239"/>
      <c r="M574" s="239"/>
      <c r="N574" s="239"/>
      <c r="O574" s="239"/>
      <c r="P574" s="239"/>
      <c r="Q574" s="239"/>
      <c r="R574" s="239"/>
      <c r="S574" s="239"/>
      <c r="T574" s="239"/>
    </row>
    <row r="575" spans="1:20" s="82" customFormat="1" ht="30" customHeight="1" x14ac:dyDescent="0.25">
      <c r="A575" s="24" t="s">
        <v>227</v>
      </c>
      <c r="B575" s="53">
        <v>908</v>
      </c>
      <c r="C575" s="48" t="s">
        <v>37</v>
      </c>
      <c r="D575" s="48" t="s">
        <v>26</v>
      </c>
      <c r="E575" s="48" t="s">
        <v>237</v>
      </c>
      <c r="F575" s="48" t="s">
        <v>193</v>
      </c>
      <c r="G575" s="119">
        <v>15053.7</v>
      </c>
      <c r="H575" s="119">
        <v>14566.5</v>
      </c>
      <c r="I575" s="119">
        <v>14566.5</v>
      </c>
      <c r="J575" s="239"/>
      <c r="K575" s="239"/>
      <c r="L575" s="239"/>
      <c r="M575" s="239"/>
      <c r="N575" s="239"/>
      <c r="O575" s="239"/>
      <c r="P575" s="239"/>
      <c r="Q575" s="239"/>
      <c r="R575" s="239"/>
      <c r="S575" s="239"/>
      <c r="T575" s="239"/>
    </row>
    <row r="576" spans="1:20" s="82" customFormat="1" x14ac:dyDescent="0.25">
      <c r="A576" s="24" t="s">
        <v>208</v>
      </c>
      <c r="B576" s="53">
        <v>908</v>
      </c>
      <c r="C576" s="48" t="s">
        <v>33</v>
      </c>
      <c r="D576" s="48"/>
      <c r="E576" s="48"/>
      <c r="F576" s="48"/>
      <c r="G576" s="119">
        <f>G583+G577</f>
        <v>176527.2</v>
      </c>
      <c r="H576" s="119">
        <f>H583+H577</f>
        <v>152986.70000000001</v>
      </c>
      <c r="I576" s="119">
        <f t="shared" ref="I576" si="200">I583</f>
        <v>144636.4</v>
      </c>
      <c r="J576" s="239"/>
      <c r="K576" s="239"/>
      <c r="L576" s="239"/>
      <c r="M576" s="239"/>
      <c r="N576" s="239"/>
      <c r="O576" s="239"/>
      <c r="P576" s="239"/>
      <c r="Q576" s="239"/>
      <c r="R576" s="239"/>
      <c r="S576" s="239"/>
      <c r="T576" s="239"/>
    </row>
    <row r="577" spans="1:20" s="82" customFormat="1" x14ac:dyDescent="0.25">
      <c r="A577" s="24" t="s">
        <v>10</v>
      </c>
      <c r="B577" s="53">
        <v>908</v>
      </c>
      <c r="C577" s="48" t="s">
        <v>33</v>
      </c>
      <c r="D577" s="48" t="s">
        <v>28</v>
      </c>
      <c r="E577" s="48"/>
      <c r="F577" s="48"/>
      <c r="G577" s="119">
        <f>G578</f>
        <v>4391.5</v>
      </c>
      <c r="H577" s="119">
        <f t="shared" ref="H577:I577" si="201">H578</f>
        <v>5000</v>
      </c>
      <c r="I577" s="119">
        <f t="shared" si="201"/>
        <v>0</v>
      </c>
      <c r="J577" s="239"/>
      <c r="K577" s="239"/>
      <c r="L577" s="239"/>
      <c r="M577" s="239"/>
      <c r="N577" s="239"/>
      <c r="O577" s="239"/>
      <c r="P577" s="239"/>
      <c r="Q577" s="239"/>
      <c r="R577" s="239"/>
      <c r="S577" s="239"/>
      <c r="T577" s="239"/>
    </row>
    <row r="578" spans="1:20" s="82" customFormat="1" ht="25.5" x14ac:dyDescent="0.25">
      <c r="A578" s="24" t="s">
        <v>414</v>
      </c>
      <c r="B578" s="53">
        <v>908</v>
      </c>
      <c r="C578" s="48" t="s">
        <v>33</v>
      </c>
      <c r="D578" s="48" t="s">
        <v>28</v>
      </c>
      <c r="E578" s="48" t="s">
        <v>415</v>
      </c>
      <c r="F578" s="48"/>
      <c r="G578" s="119">
        <f>G579</f>
        <v>4391.5</v>
      </c>
      <c r="H578" s="119">
        <f t="shared" ref="H578:I579" si="202">H579</f>
        <v>5000</v>
      </c>
      <c r="I578" s="119">
        <f t="shared" si="202"/>
        <v>0</v>
      </c>
      <c r="J578" s="239"/>
      <c r="K578" s="239"/>
      <c r="L578" s="239"/>
      <c r="M578" s="239"/>
      <c r="N578" s="239"/>
      <c r="O578" s="239"/>
      <c r="P578" s="239"/>
      <c r="Q578" s="239"/>
      <c r="R578" s="239"/>
      <c r="S578" s="239"/>
      <c r="T578" s="239"/>
    </row>
    <row r="579" spans="1:20" s="82" customFormat="1" ht="38.25" x14ac:dyDescent="0.25">
      <c r="A579" s="24" t="s">
        <v>768</v>
      </c>
      <c r="B579" s="53">
        <v>908</v>
      </c>
      <c r="C579" s="48" t="s">
        <v>33</v>
      </c>
      <c r="D579" s="48" t="s">
        <v>28</v>
      </c>
      <c r="E579" s="48" t="s">
        <v>616</v>
      </c>
      <c r="F579" s="48"/>
      <c r="G579" s="119">
        <f>G580</f>
        <v>4391.5</v>
      </c>
      <c r="H579" s="119">
        <f t="shared" si="202"/>
        <v>5000</v>
      </c>
      <c r="I579" s="119">
        <f t="shared" si="202"/>
        <v>0</v>
      </c>
      <c r="J579" s="239"/>
      <c r="K579" s="239"/>
      <c r="L579" s="239"/>
      <c r="M579" s="239"/>
      <c r="N579" s="239"/>
      <c r="O579" s="239"/>
      <c r="P579" s="239"/>
      <c r="Q579" s="239"/>
      <c r="R579" s="239"/>
      <c r="S579" s="239"/>
      <c r="T579" s="239"/>
    </row>
    <row r="580" spans="1:20" s="82" customFormat="1" x14ac:dyDescent="0.25">
      <c r="A580" s="24" t="s">
        <v>934</v>
      </c>
      <c r="B580" s="53">
        <v>908</v>
      </c>
      <c r="C580" s="48" t="s">
        <v>33</v>
      </c>
      <c r="D580" s="48" t="s">
        <v>28</v>
      </c>
      <c r="E580" s="48" t="s">
        <v>933</v>
      </c>
      <c r="F580" s="48"/>
      <c r="G580" s="119">
        <f>G581</f>
        <v>4391.5</v>
      </c>
      <c r="H580" s="119">
        <f t="shared" ref="H580:I581" si="203">H581</f>
        <v>5000</v>
      </c>
      <c r="I580" s="119">
        <f t="shared" si="203"/>
        <v>0</v>
      </c>
      <c r="J580" s="239"/>
      <c r="K580" s="239"/>
      <c r="L580" s="239"/>
      <c r="M580" s="239"/>
      <c r="N580" s="239"/>
      <c r="O580" s="239"/>
      <c r="P580" s="239"/>
      <c r="Q580" s="239"/>
      <c r="R580" s="239"/>
      <c r="S580" s="239"/>
      <c r="T580" s="239"/>
    </row>
    <row r="581" spans="1:20" s="82" customFormat="1" ht="51" x14ac:dyDescent="0.25">
      <c r="A581" s="24" t="s">
        <v>854</v>
      </c>
      <c r="B581" s="53">
        <v>908</v>
      </c>
      <c r="C581" s="48" t="s">
        <v>33</v>
      </c>
      <c r="D581" s="48" t="s">
        <v>28</v>
      </c>
      <c r="E581" s="48" t="s">
        <v>937</v>
      </c>
      <c r="F581" s="48"/>
      <c r="G581" s="119">
        <f>G582</f>
        <v>4391.5</v>
      </c>
      <c r="H581" s="119">
        <f t="shared" si="203"/>
        <v>5000</v>
      </c>
      <c r="I581" s="119">
        <f t="shared" si="203"/>
        <v>0</v>
      </c>
      <c r="J581" s="239"/>
      <c r="K581" s="239"/>
      <c r="L581" s="239"/>
      <c r="M581" s="239"/>
      <c r="N581" s="239"/>
      <c r="O581" s="239"/>
      <c r="P581" s="239"/>
      <c r="Q581" s="239"/>
      <c r="R581" s="239"/>
      <c r="S581" s="239"/>
      <c r="T581" s="239"/>
    </row>
    <row r="582" spans="1:20" s="82" customFormat="1" x14ac:dyDescent="0.25">
      <c r="A582" s="28" t="s">
        <v>85</v>
      </c>
      <c r="B582" s="53">
        <v>908</v>
      </c>
      <c r="C582" s="48" t="s">
        <v>33</v>
      </c>
      <c r="D582" s="48" t="s">
        <v>28</v>
      </c>
      <c r="E582" s="48" t="s">
        <v>937</v>
      </c>
      <c r="F582" s="48" t="s">
        <v>86</v>
      </c>
      <c r="G582" s="119">
        <f>4000+391.5</f>
        <v>4391.5</v>
      </c>
      <c r="H582" s="119">
        <v>5000</v>
      </c>
      <c r="I582" s="119">
        <v>0</v>
      </c>
      <c r="J582" s="239"/>
      <c r="K582" s="239"/>
      <c r="L582" s="239"/>
      <c r="M582" s="239"/>
      <c r="N582" s="239"/>
      <c r="O582" s="239"/>
      <c r="P582" s="239"/>
      <c r="Q582" s="239"/>
      <c r="R582" s="239"/>
      <c r="S582" s="239"/>
      <c r="T582" s="239"/>
    </row>
    <row r="583" spans="1:20" s="82" customFormat="1" x14ac:dyDescent="0.25">
      <c r="A583" s="24" t="s">
        <v>209</v>
      </c>
      <c r="B583" s="53">
        <v>908</v>
      </c>
      <c r="C583" s="48" t="s">
        <v>33</v>
      </c>
      <c r="D583" s="48" t="s">
        <v>29</v>
      </c>
      <c r="E583" s="48"/>
      <c r="F583" s="48"/>
      <c r="G583" s="119">
        <f>G584</f>
        <v>172135.7</v>
      </c>
      <c r="H583" s="119">
        <f>H584</f>
        <v>147986.70000000001</v>
      </c>
      <c r="I583" s="119">
        <f>I584</f>
        <v>144636.4</v>
      </c>
      <c r="J583" s="239"/>
      <c r="K583" s="239"/>
      <c r="L583" s="239"/>
      <c r="M583" s="239"/>
      <c r="N583" s="239"/>
      <c r="O583" s="239"/>
      <c r="P583" s="239"/>
      <c r="Q583" s="239"/>
      <c r="R583" s="239"/>
      <c r="S583" s="239"/>
      <c r="T583" s="239"/>
    </row>
    <row r="584" spans="1:20" s="82" customFormat="1" ht="25.5" x14ac:dyDescent="0.25">
      <c r="A584" s="24" t="s">
        <v>414</v>
      </c>
      <c r="B584" s="53">
        <v>908</v>
      </c>
      <c r="C584" s="48" t="s">
        <v>33</v>
      </c>
      <c r="D584" s="48" t="s">
        <v>29</v>
      </c>
      <c r="E584" s="48" t="s">
        <v>415</v>
      </c>
      <c r="F584" s="48"/>
      <c r="G584" s="119">
        <f t="shared" ref="G584:I587" si="204">G585</f>
        <v>172135.7</v>
      </c>
      <c r="H584" s="119">
        <f t="shared" si="204"/>
        <v>147986.70000000001</v>
      </c>
      <c r="I584" s="119">
        <f t="shared" si="204"/>
        <v>144636.4</v>
      </c>
      <c r="J584" s="239"/>
      <c r="K584" s="239"/>
      <c r="L584" s="239"/>
      <c r="M584" s="239"/>
      <c r="N584" s="239"/>
      <c r="O584" s="239"/>
      <c r="P584" s="239"/>
      <c r="Q584" s="239"/>
      <c r="R584" s="239"/>
      <c r="S584" s="239"/>
      <c r="T584" s="239"/>
    </row>
    <row r="585" spans="1:20" s="82" customFormat="1" x14ac:dyDescent="0.25">
      <c r="A585" s="24" t="s">
        <v>767</v>
      </c>
      <c r="B585" s="53">
        <v>908</v>
      </c>
      <c r="C585" s="48" t="s">
        <v>33</v>
      </c>
      <c r="D585" s="48" t="s">
        <v>29</v>
      </c>
      <c r="E585" s="48" t="s">
        <v>416</v>
      </c>
      <c r="F585" s="48"/>
      <c r="G585" s="119">
        <f>G586+G591</f>
        <v>172135.7</v>
      </c>
      <c r="H585" s="119">
        <f t="shared" ref="H585:I585" si="205">H586+H591</f>
        <v>147986.70000000001</v>
      </c>
      <c r="I585" s="119">
        <f t="shared" si="205"/>
        <v>144636.4</v>
      </c>
      <c r="J585" s="239"/>
      <c r="K585" s="239"/>
      <c r="L585" s="239"/>
      <c r="M585" s="239"/>
      <c r="N585" s="239"/>
      <c r="O585" s="239"/>
      <c r="P585" s="239"/>
      <c r="Q585" s="239"/>
      <c r="R585" s="239"/>
      <c r="S585" s="239"/>
      <c r="T585" s="239"/>
    </row>
    <row r="586" spans="1:20" s="82" customFormat="1" ht="25.5" x14ac:dyDescent="0.25">
      <c r="A586" s="23" t="s">
        <v>812</v>
      </c>
      <c r="B586" s="53">
        <v>908</v>
      </c>
      <c r="C586" s="48" t="s">
        <v>33</v>
      </c>
      <c r="D586" s="48" t="s">
        <v>29</v>
      </c>
      <c r="E586" s="48" t="s">
        <v>419</v>
      </c>
      <c r="F586" s="48"/>
      <c r="G586" s="119">
        <f>G587+G589</f>
        <v>41934.800000000003</v>
      </c>
      <c r="H586" s="119">
        <f t="shared" ref="H586:I586" si="206">H587+H589</f>
        <v>15000</v>
      </c>
      <c r="I586" s="119">
        <f t="shared" si="206"/>
        <v>15000</v>
      </c>
      <c r="J586" s="239"/>
      <c r="K586" s="239"/>
      <c r="L586" s="239"/>
      <c r="M586" s="239"/>
      <c r="N586" s="239"/>
      <c r="O586" s="239"/>
      <c r="P586" s="239"/>
      <c r="Q586" s="239"/>
      <c r="R586" s="239"/>
      <c r="S586" s="239"/>
      <c r="T586" s="239"/>
    </row>
    <row r="587" spans="1:20" s="82" customFormat="1" x14ac:dyDescent="0.25">
      <c r="A587" s="23" t="s">
        <v>421</v>
      </c>
      <c r="B587" s="53">
        <v>908</v>
      </c>
      <c r="C587" s="48" t="s">
        <v>33</v>
      </c>
      <c r="D587" s="48" t="s">
        <v>29</v>
      </c>
      <c r="E587" s="48" t="s">
        <v>420</v>
      </c>
      <c r="F587" s="48"/>
      <c r="G587" s="119">
        <f t="shared" si="204"/>
        <v>40592</v>
      </c>
      <c r="H587" s="119">
        <f t="shared" si="204"/>
        <v>15000</v>
      </c>
      <c r="I587" s="119">
        <f t="shared" si="204"/>
        <v>15000</v>
      </c>
      <c r="J587" s="239"/>
      <c r="K587" s="239"/>
      <c r="L587" s="239"/>
      <c r="M587" s="239"/>
      <c r="N587" s="239"/>
      <c r="O587" s="239"/>
      <c r="P587" s="239"/>
      <c r="Q587" s="239"/>
      <c r="R587" s="239"/>
      <c r="S587" s="239"/>
      <c r="T587" s="239"/>
    </row>
    <row r="588" spans="1:20" s="82" customFormat="1" x14ac:dyDescent="0.25">
      <c r="A588" s="28" t="s">
        <v>85</v>
      </c>
      <c r="B588" s="53">
        <v>908</v>
      </c>
      <c r="C588" s="48" t="s">
        <v>33</v>
      </c>
      <c r="D588" s="48" t="s">
        <v>29</v>
      </c>
      <c r="E588" s="48" t="s">
        <v>420</v>
      </c>
      <c r="F588" s="48" t="s">
        <v>86</v>
      </c>
      <c r="G588" s="119">
        <f>15000+25589.2+2.8</f>
        <v>40592</v>
      </c>
      <c r="H588" s="119">
        <v>15000</v>
      </c>
      <c r="I588" s="119">
        <v>15000</v>
      </c>
      <c r="J588" s="184"/>
      <c r="K588" s="239"/>
      <c r="L588" s="239"/>
      <c r="M588" s="239"/>
      <c r="N588" s="239"/>
      <c r="O588" s="239"/>
      <c r="P588" s="239"/>
      <c r="Q588" s="239"/>
      <c r="R588" s="239"/>
      <c r="S588" s="239"/>
      <c r="T588" s="239"/>
    </row>
    <row r="589" spans="1:20" s="82" customFormat="1" ht="25.5" x14ac:dyDescent="0.25">
      <c r="A589" s="28" t="s">
        <v>1022</v>
      </c>
      <c r="B589" s="53">
        <v>908</v>
      </c>
      <c r="C589" s="48" t="s">
        <v>33</v>
      </c>
      <c r="D589" s="48" t="s">
        <v>29</v>
      </c>
      <c r="E589" s="48" t="s">
        <v>1023</v>
      </c>
      <c r="F589" s="48"/>
      <c r="G589" s="119">
        <f>G590</f>
        <v>1342.8</v>
      </c>
      <c r="H589" s="119">
        <f t="shared" ref="H589:I589" si="207">H590</f>
        <v>0</v>
      </c>
      <c r="I589" s="119">
        <f t="shared" si="207"/>
        <v>0</v>
      </c>
      <c r="J589" s="184"/>
      <c r="K589" s="239"/>
      <c r="L589" s="239"/>
      <c r="M589" s="239"/>
      <c r="N589" s="239"/>
      <c r="O589" s="239"/>
      <c r="P589" s="239"/>
      <c r="Q589" s="239"/>
      <c r="R589" s="239"/>
      <c r="S589" s="239"/>
      <c r="T589" s="239"/>
    </row>
    <row r="590" spans="1:20" s="82" customFormat="1" x14ac:dyDescent="0.25">
      <c r="A590" s="28" t="s">
        <v>85</v>
      </c>
      <c r="B590" s="53">
        <v>908</v>
      </c>
      <c r="C590" s="48" t="s">
        <v>33</v>
      </c>
      <c r="D590" s="48" t="s">
        <v>29</v>
      </c>
      <c r="E590" s="48" t="s">
        <v>1023</v>
      </c>
      <c r="F590" s="48" t="s">
        <v>86</v>
      </c>
      <c r="G590" s="119">
        <v>1342.8</v>
      </c>
      <c r="H590" s="119">
        <v>0</v>
      </c>
      <c r="I590" s="119">
        <v>0</v>
      </c>
      <c r="J590" s="184"/>
      <c r="K590" s="239"/>
      <c r="L590" s="239"/>
      <c r="M590" s="239"/>
      <c r="N590" s="239"/>
      <c r="O590" s="239"/>
      <c r="P590" s="239"/>
      <c r="Q590" s="239"/>
      <c r="R590" s="239"/>
      <c r="S590" s="239"/>
      <c r="T590" s="239"/>
    </row>
    <row r="591" spans="1:20" s="82" customFormat="1" ht="63.75" x14ac:dyDescent="0.25">
      <c r="A591" s="24" t="s">
        <v>813</v>
      </c>
      <c r="B591" s="53">
        <v>908</v>
      </c>
      <c r="C591" s="48" t="s">
        <v>33</v>
      </c>
      <c r="D591" s="48" t="s">
        <v>29</v>
      </c>
      <c r="E591" s="48" t="s">
        <v>592</v>
      </c>
      <c r="F591" s="48"/>
      <c r="G591" s="119">
        <f t="shared" ref="G591:I592" si="208">G592</f>
        <v>130200.9</v>
      </c>
      <c r="H591" s="119">
        <f t="shared" si="208"/>
        <v>132986.70000000001</v>
      </c>
      <c r="I591" s="119">
        <f t="shared" si="208"/>
        <v>129636.4</v>
      </c>
      <c r="J591" s="239"/>
      <c r="K591" s="239"/>
      <c r="L591" s="239"/>
      <c r="M591" s="239"/>
      <c r="N591" s="239"/>
      <c r="O591" s="239"/>
      <c r="P591" s="239"/>
      <c r="Q591" s="239"/>
      <c r="R591" s="239"/>
      <c r="S591" s="239"/>
      <c r="T591" s="239"/>
    </row>
    <row r="592" spans="1:20" s="82" customFormat="1" ht="51" x14ac:dyDescent="0.25">
      <c r="A592" s="23" t="s">
        <v>630</v>
      </c>
      <c r="B592" s="53">
        <v>908</v>
      </c>
      <c r="C592" s="48" t="s">
        <v>33</v>
      </c>
      <c r="D592" s="48" t="s">
        <v>29</v>
      </c>
      <c r="E592" s="48" t="s">
        <v>593</v>
      </c>
      <c r="F592" s="48"/>
      <c r="G592" s="119">
        <f t="shared" si="208"/>
        <v>130200.9</v>
      </c>
      <c r="H592" s="119">
        <f t="shared" si="208"/>
        <v>132986.70000000001</v>
      </c>
      <c r="I592" s="119">
        <f t="shared" si="208"/>
        <v>129636.4</v>
      </c>
      <c r="J592" s="206"/>
      <c r="K592" s="239"/>
      <c r="L592" s="239"/>
      <c r="M592" s="239"/>
      <c r="N592" s="239"/>
      <c r="O592" s="239"/>
      <c r="P592" s="239"/>
      <c r="Q592" s="239"/>
      <c r="R592" s="239"/>
      <c r="S592" s="239"/>
      <c r="T592" s="239"/>
    </row>
    <row r="593" spans="1:20" s="82" customFormat="1" ht="25.5" x14ac:dyDescent="0.25">
      <c r="A593" s="24" t="s">
        <v>227</v>
      </c>
      <c r="B593" s="53">
        <v>908</v>
      </c>
      <c r="C593" s="48" t="s">
        <v>33</v>
      </c>
      <c r="D593" s="48" t="s">
        <v>29</v>
      </c>
      <c r="E593" s="48" t="s">
        <v>593</v>
      </c>
      <c r="F593" s="48" t="s">
        <v>193</v>
      </c>
      <c r="G593" s="119">
        <v>130200.9</v>
      </c>
      <c r="H593" s="119">
        <v>132986.70000000001</v>
      </c>
      <c r="I593" s="119">
        <v>129636.4</v>
      </c>
      <c r="J593" s="153"/>
      <c r="K593" s="153"/>
      <c r="L593" s="153"/>
      <c r="M593" s="239"/>
      <c r="N593" s="239"/>
      <c r="O593" s="239"/>
      <c r="P593" s="239"/>
      <c r="Q593" s="239"/>
      <c r="R593" s="239"/>
      <c r="S593" s="239"/>
      <c r="T593" s="239"/>
    </row>
    <row r="594" spans="1:20" s="6" customFormat="1" ht="36" customHeight="1" x14ac:dyDescent="0.25">
      <c r="A594" s="86" t="s">
        <v>55</v>
      </c>
      <c r="B594" s="52">
        <v>912</v>
      </c>
      <c r="C594" s="44"/>
      <c r="D594" s="44"/>
      <c r="E594" s="44"/>
      <c r="F594" s="44"/>
      <c r="G594" s="116">
        <f>G595</f>
        <v>5293.4</v>
      </c>
      <c r="H594" s="116">
        <f t="shared" ref="H594:I594" si="209">H595</f>
        <v>5478.5999999999995</v>
      </c>
      <c r="I594" s="116">
        <f t="shared" si="209"/>
        <v>5671.2</v>
      </c>
      <c r="J594" s="206"/>
      <c r="K594" s="206"/>
      <c r="L594" s="206"/>
      <c r="M594" s="67"/>
      <c r="N594" s="67"/>
      <c r="O594" s="67"/>
      <c r="P594" s="67"/>
      <c r="Q594" s="67"/>
      <c r="R594" s="67"/>
      <c r="S594" s="67"/>
      <c r="T594" s="67"/>
    </row>
    <row r="595" spans="1:20" s="6" customFormat="1" x14ac:dyDescent="0.25">
      <c r="A595" s="24" t="s">
        <v>5</v>
      </c>
      <c r="B595" s="53">
        <v>912</v>
      </c>
      <c r="C595" s="48" t="s">
        <v>29</v>
      </c>
      <c r="D595" s="48"/>
      <c r="E595" s="44"/>
      <c r="F595" s="44"/>
      <c r="G595" s="119">
        <f t="shared" ref="G595:I595" si="210">G596</f>
        <v>5293.4</v>
      </c>
      <c r="H595" s="119">
        <f t="shared" si="210"/>
        <v>5478.5999999999995</v>
      </c>
      <c r="I595" s="119">
        <f t="shared" si="210"/>
        <v>5671.2</v>
      </c>
      <c r="J595" s="178"/>
      <c r="K595" s="178"/>
      <c r="L595" s="178"/>
      <c r="M595" s="67"/>
      <c r="N595" s="67"/>
      <c r="O595" s="67"/>
      <c r="P595" s="67"/>
      <c r="Q595" s="67"/>
      <c r="R595" s="67"/>
      <c r="S595" s="67"/>
      <c r="T595" s="67"/>
    </row>
    <row r="596" spans="1:20" s="6" customFormat="1" x14ac:dyDescent="0.25">
      <c r="A596" s="24" t="s">
        <v>23</v>
      </c>
      <c r="B596" s="53">
        <v>912</v>
      </c>
      <c r="C596" s="48" t="s">
        <v>29</v>
      </c>
      <c r="D596" s="48" t="s">
        <v>37</v>
      </c>
      <c r="E596" s="48"/>
      <c r="F596" s="44"/>
      <c r="G596" s="119">
        <f>G597+G607</f>
        <v>5293.4</v>
      </c>
      <c r="H596" s="119">
        <f t="shared" ref="H596:I596" si="211">H597+H607</f>
        <v>5478.5999999999995</v>
      </c>
      <c r="I596" s="119">
        <f t="shared" si="211"/>
        <v>5671.2</v>
      </c>
      <c r="J596" s="239"/>
      <c r="K596" s="239"/>
      <c r="L596" s="239"/>
      <c r="M596" s="67"/>
      <c r="N596" s="67"/>
      <c r="O596" s="67"/>
      <c r="P596" s="67"/>
      <c r="Q596" s="67"/>
      <c r="R596" s="67"/>
      <c r="S596" s="67"/>
      <c r="T596" s="67"/>
    </row>
    <row r="597" spans="1:20" s="6" customFormat="1" ht="44.25" customHeight="1" x14ac:dyDescent="0.25">
      <c r="A597" s="23" t="s">
        <v>387</v>
      </c>
      <c r="B597" s="53">
        <v>912</v>
      </c>
      <c r="C597" s="48" t="s">
        <v>29</v>
      </c>
      <c r="D597" s="48" t="s">
        <v>37</v>
      </c>
      <c r="E597" s="48" t="s">
        <v>204</v>
      </c>
      <c r="F597" s="44"/>
      <c r="G597" s="119">
        <f>G598+G602</f>
        <v>5279.5</v>
      </c>
      <c r="H597" s="119">
        <f>H598+H602</f>
        <v>5464.7</v>
      </c>
      <c r="I597" s="119">
        <f>I598+I602</f>
        <v>5657.3</v>
      </c>
      <c r="J597" s="239"/>
      <c r="K597" s="239"/>
      <c r="L597" s="239"/>
      <c r="M597" s="67"/>
      <c r="N597" s="67"/>
      <c r="O597" s="67"/>
      <c r="P597" s="67"/>
      <c r="Q597" s="67"/>
      <c r="R597" s="67"/>
      <c r="S597" s="67"/>
      <c r="T597" s="67"/>
    </row>
    <row r="598" spans="1:20" s="6" customFormat="1" ht="25.5" x14ac:dyDescent="0.25">
      <c r="A598" s="23" t="s">
        <v>769</v>
      </c>
      <c r="B598" s="53">
        <v>912</v>
      </c>
      <c r="C598" s="48" t="s">
        <v>29</v>
      </c>
      <c r="D598" s="48" t="s">
        <v>37</v>
      </c>
      <c r="E598" s="48" t="s">
        <v>388</v>
      </c>
      <c r="F598" s="44"/>
      <c r="G598" s="119">
        <f t="shared" ref="G598:I600" si="212">G599</f>
        <v>500</v>
      </c>
      <c r="H598" s="119">
        <f t="shared" si="212"/>
        <v>500</v>
      </c>
      <c r="I598" s="119">
        <f t="shared" si="212"/>
        <v>500</v>
      </c>
      <c r="J598" s="239"/>
      <c r="K598" s="239"/>
      <c r="L598" s="239"/>
      <c r="M598" s="67"/>
      <c r="N598" s="67"/>
      <c r="O598" s="67"/>
      <c r="P598" s="67"/>
      <c r="Q598" s="67"/>
      <c r="R598" s="67"/>
      <c r="S598" s="67"/>
      <c r="T598" s="67"/>
    </row>
    <row r="599" spans="1:20" s="6" customFormat="1" ht="25.5" x14ac:dyDescent="0.25">
      <c r="A599" s="23" t="s">
        <v>814</v>
      </c>
      <c r="B599" s="53">
        <v>912</v>
      </c>
      <c r="C599" s="48" t="s">
        <v>29</v>
      </c>
      <c r="D599" s="48" t="s">
        <v>37</v>
      </c>
      <c r="E599" s="48" t="s">
        <v>389</v>
      </c>
      <c r="F599" s="48"/>
      <c r="G599" s="119">
        <f t="shared" si="212"/>
        <v>500</v>
      </c>
      <c r="H599" s="119">
        <f t="shared" si="212"/>
        <v>500</v>
      </c>
      <c r="I599" s="119">
        <f t="shared" si="212"/>
        <v>500</v>
      </c>
      <c r="J599" s="239"/>
      <c r="K599" s="239"/>
      <c r="L599" s="239"/>
      <c r="M599" s="67"/>
      <c r="N599" s="67"/>
      <c r="O599" s="67"/>
      <c r="P599" s="67"/>
      <c r="Q599" s="67"/>
      <c r="R599" s="67"/>
      <c r="S599" s="67"/>
      <c r="T599" s="67"/>
    </row>
    <row r="600" spans="1:20" s="6" customFormat="1" ht="59.25" customHeight="1" x14ac:dyDescent="0.25">
      <c r="A600" s="24" t="s">
        <v>643</v>
      </c>
      <c r="B600" s="53">
        <v>912</v>
      </c>
      <c r="C600" s="48" t="s">
        <v>29</v>
      </c>
      <c r="D600" s="48" t="s">
        <v>37</v>
      </c>
      <c r="E600" s="48" t="s">
        <v>390</v>
      </c>
      <c r="F600" s="44"/>
      <c r="G600" s="119">
        <f t="shared" si="212"/>
        <v>500</v>
      </c>
      <c r="H600" s="119">
        <f t="shared" si="212"/>
        <v>500</v>
      </c>
      <c r="I600" s="119">
        <f t="shared" si="212"/>
        <v>500</v>
      </c>
      <c r="J600" s="239"/>
      <c r="K600" s="239"/>
      <c r="L600" s="239"/>
      <c r="M600" s="67"/>
      <c r="N600" s="67"/>
      <c r="O600" s="67"/>
      <c r="P600" s="67"/>
      <c r="Q600" s="67"/>
      <c r="R600" s="67"/>
      <c r="S600" s="67"/>
      <c r="T600" s="67"/>
    </row>
    <row r="601" spans="1:20" s="6" customFormat="1" x14ac:dyDescent="0.25">
      <c r="A601" s="24" t="s">
        <v>95</v>
      </c>
      <c r="B601" s="53">
        <v>912</v>
      </c>
      <c r="C601" s="48" t="s">
        <v>29</v>
      </c>
      <c r="D601" s="48" t="s">
        <v>37</v>
      </c>
      <c r="E601" s="48" t="s">
        <v>390</v>
      </c>
      <c r="F601" s="48" t="s">
        <v>62</v>
      </c>
      <c r="G601" s="119">
        <v>500</v>
      </c>
      <c r="H601" s="119">
        <v>500</v>
      </c>
      <c r="I601" s="119">
        <v>500</v>
      </c>
      <c r="J601" s="239"/>
      <c r="K601" s="239"/>
      <c r="L601" s="239"/>
      <c r="M601" s="67"/>
      <c r="N601" s="67"/>
      <c r="O601" s="67"/>
      <c r="P601" s="67"/>
      <c r="Q601" s="67"/>
      <c r="R601" s="67"/>
      <c r="S601" s="67"/>
      <c r="T601" s="67"/>
    </row>
    <row r="602" spans="1:20" s="6" customFormat="1" x14ac:dyDescent="0.25">
      <c r="A602" s="24" t="s">
        <v>770</v>
      </c>
      <c r="B602" s="53">
        <v>912</v>
      </c>
      <c r="C602" s="48" t="s">
        <v>29</v>
      </c>
      <c r="D602" s="48" t="s">
        <v>37</v>
      </c>
      <c r="E602" s="48" t="s">
        <v>391</v>
      </c>
      <c r="F602" s="48"/>
      <c r="G602" s="119">
        <f t="shared" ref="G602:I603" si="213">G603</f>
        <v>4779.5</v>
      </c>
      <c r="H602" s="119">
        <f t="shared" si="213"/>
        <v>4964.7</v>
      </c>
      <c r="I602" s="119">
        <f t="shared" si="213"/>
        <v>5157.3</v>
      </c>
      <c r="J602" s="239"/>
      <c r="K602" s="239"/>
      <c r="L602" s="239"/>
      <c r="M602" s="67"/>
      <c r="N602" s="67"/>
      <c r="O602" s="67"/>
      <c r="P602" s="67"/>
      <c r="Q602" s="67"/>
      <c r="R602" s="67"/>
      <c r="S602" s="67"/>
      <c r="T602" s="67"/>
    </row>
    <row r="603" spans="1:20" s="6" customFormat="1" x14ac:dyDescent="0.25">
      <c r="A603" s="24" t="s">
        <v>815</v>
      </c>
      <c r="B603" s="53">
        <v>912</v>
      </c>
      <c r="C603" s="48" t="s">
        <v>29</v>
      </c>
      <c r="D603" s="48" t="s">
        <v>37</v>
      </c>
      <c r="E603" s="48" t="s">
        <v>392</v>
      </c>
      <c r="F603" s="48"/>
      <c r="G603" s="119">
        <f t="shared" si="213"/>
        <v>4779.5</v>
      </c>
      <c r="H603" s="119">
        <f t="shared" si="213"/>
        <v>4964.7</v>
      </c>
      <c r="I603" s="119">
        <f t="shared" si="213"/>
        <v>5157.3</v>
      </c>
      <c r="J603" s="239"/>
      <c r="K603" s="239"/>
      <c r="L603" s="239"/>
      <c r="M603" s="67"/>
      <c r="N603" s="67"/>
      <c r="O603" s="67"/>
      <c r="P603" s="67"/>
      <c r="Q603" s="67"/>
      <c r="R603" s="67"/>
      <c r="S603" s="67"/>
      <c r="T603" s="67"/>
    </row>
    <row r="604" spans="1:20" s="6" customFormat="1" x14ac:dyDescent="0.25">
      <c r="A604" s="24" t="s">
        <v>138</v>
      </c>
      <c r="B604" s="53">
        <v>912</v>
      </c>
      <c r="C604" s="48" t="s">
        <v>29</v>
      </c>
      <c r="D604" s="48" t="s">
        <v>37</v>
      </c>
      <c r="E604" s="48" t="s">
        <v>393</v>
      </c>
      <c r="F604" s="48"/>
      <c r="G604" s="119">
        <f>G605+G606</f>
        <v>4779.5</v>
      </c>
      <c r="H604" s="119">
        <f>H605+H606</f>
        <v>4964.7</v>
      </c>
      <c r="I604" s="119">
        <f>I605+I606</f>
        <v>5157.3</v>
      </c>
      <c r="J604" s="239"/>
      <c r="K604" s="239"/>
      <c r="L604" s="239"/>
      <c r="M604" s="67"/>
      <c r="N604" s="67"/>
      <c r="O604" s="67"/>
      <c r="P604" s="67"/>
      <c r="Q604" s="67"/>
      <c r="R604" s="67"/>
      <c r="S604" s="67"/>
      <c r="T604" s="67"/>
    </row>
    <row r="605" spans="1:20" s="6" customFormat="1" ht="42" customHeight="1" x14ac:dyDescent="0.25">
      <c r="A605" s="24" t="s">
        <v>225</v>
      </c>
      <c r="B605" s="53">
        <v>912</v>
      </c>
      <c r="C605" s="48" t="s">
        <v>29</v>
      </c>
      <c r="D605" s="48" t="s">
        <v>37</v>
      </c>
      <c r="E605" s="48" t="s">
        <v>393</v>
      </c>
      <c r="F605" s="48" t="s">
        <v>66</v>
      </c>
      <c r="G605" s="119">
        <v>4628.3</v>
      </c>
      <c r="H605" s="119">
        <v>4813.5</v>
      </c>
      <c r="I605" s="119">
        <v>5006.1000000000004</v>
      </c>
      <c r="J605" s="239"/>
      <c r="K605" s="239"/>
      <c r="L605" s="239"/>
      <c r="M605" s="67"/>
      <c r="N605" s="67"/>
      <c r="O605" s="67"/>
      <c r="P605" s="67"/>
      <c r="Q605" s="67"/>
      <c r="R605" s="67"/>
      <c r="S605" s="67"/>
      <c r="T605" s="67"/>
    </row>
    <row r="606" spans="1:20" s="6" customFormat="1" ht="27.75" customHeight="1" x14ac:dyDescent="0.25">
      <c r="A606" s="24" t="s">
        <v>226</v>
      </c>
      <c r="B606" s="53">
        <v>912</v>
      </c>
      <c r="C606" s="48" t="s">
        <v>29</v>
      </c>
      <c r="D606" s="48" t="s">
        <v>37</v>
      </c>
      <c r="E606" s="48" t="s">
        <v>393</v>
      </c>
      <c r="F606" s="48" t="s">
        <v>59</v>
      </c>
      <c r="G606" s="119">
        <v>151.19999999999999</v>
      </c>
      <c r="H606" s="119">
        <v>151.19999999999999</v>
      </c>
      <c r="I606" s="119">
        <v>151.19999999999999</v>
      </c>
      <c r="J606" s="239"/>
      <c r="K606" s="239"/>
      <c r="L606" s="239"/>
      <c r="M606" s="67"/>
      <c r="N606" s="67"/>
      <c r="O606" s="67"/>
      <c r="P606" s="67"/>
      <c r="Q606" s="67"/>
      <c r="R606" s="67"/>
      <c r="S606" s="67"/>
      <c r="T606" s="67"/>
    </row>
    <row r="607" spans="1:20" s="6" customFormat="1" x14ac:dyDescent="0.25">
      <c r="A607" s="24" t="s">
        <v>94</v>
      </c>
      <c r="B607" s="53">
        <v>912</v>
      </c>
      <c r="C607" s="48" t="s">
        <v>29</v>
      </c>
      <c r="D607" s="48" t="s">
        <v>37</v>
      </c>
      <c r="E607" s="48" t="s">
        <v>120</v>
      </c>
      <c r="F607" s="48"/>
      <c r="G607" s="119">
        <f>G608</f>
        <v>13.9</v>
      </c>
      <c r="H607" s="119">
        <f t="shared" ref="H607:I608" si="214">H608</f>
        <v>13.9</v>
      </c>
      <c r="I607" s="119">
        <f t="shared" si="214"/>
        <v>13.9</v>
      </c>
      <c r="J607" s="239"/>
      <c r="K607" s="239"/>
      <c r="L607" s="239"/>
      <c r="M607" s="67"/>
      <c r="N607" s="67"/>
      <c r="O607" s="67"/>
      <c r="P607" s="67"/>
      <c r="Q607" s="67"/>
      <c r="R607" s="67"/>
      <c r="S607" s="67"/>
      <c r="T607" s="67"/>
    </row>
    <row r="608" spans="1:20" s="6" customFormat="1" x14ac:dyDescent="0.25">
      <c r="A608" s="24" t="s">
        <v>379</v>
      </c>
      <c r="B608" s="53">
        <v>912</v>
      </c>
      <c r="C608" s="48" t="s">
        <v>29</v>
      </c>
      <c r="D608" s="48" t="s">
        <v>37</v>
      </c>
      <c r="E608" s="48" t="s">
        <v>380</v>
      </c>
      <c r="F608" s="48"/>
      <c r="G608" s="119">
        <f>G609</f>
        <v>13.9</v>
      </c>
      <c r="H608" s="119">
        <f t="shared" si="214"/>
        <v>13.9</v>
      </c>
      <c r="I608" s="119">
        <f t="shared" si="214"/>
        <v>13.9</v>
      </c>
      <c r="J608" s="239"/>
      <c r="K608" s="239"/>
      <c r="L608" s="239"/>
      <c r="M608" s="67"/>
      <c r="N608" s="67"/>
      <c r="O608" s="67"/>
      <c r="P608" s="67"/>
      <c r="Q608" s="67"/>
      <c r="R608" s="67"/>
      <c r="S608" s="67"/>
      <c r="T608" s="67"/>
    </row>
    <row r="609" spans="1:20" s="6" customFormat="1" ht="25.5" x14ac:dyDescent="0.25">
      <c r="A609" s="24" t="s">
        <v>226</v>
      </c>
      <c r="B609" s="53">
        <v>912</v>
      </c>
      <c r="C609" s="48" t="s">
        <v>29</v>
      </c>
      <c r="D609" s="48" t="s">
        <v>37</v>
      </c>
      <c r="E609" s="48" t="s">
        <v>380</v>
      </c>
      <c r="F609" s="48" t="s">
        <v>59</v>
      </c>
      <c r="G609" s="119">
        <v>13.9</v>
      </c>
      <c r="H609" s="119">
        <v>13.9</v>
      </c>
      <c r="I609" s="119">
        <v>13.9</v>
      </c>
      <c r="J609" s="239"/>
      <c r="K609" s="239"/>
      <c r="L609" s="239"/>
      <c r="M609" s="67"/>
      <c r="N609" s="67"/>
      <c r="O609" s="67"/>
      <c r="P609" s="67"/>
      <c r="Q609" s="67"/>
      <c r="R609" s="67"/>
      <c r="S609" s="67"/>
      <c r="T609" s="67"/>
    </row>
    <row r="610" spans="1:20" s="6" customFormat="1" ht="31.5" x14ac:dyDescent="0.25">
      <c r="A610" s="86" t="s">
        <v>68</v>
      </c>
      <c r="B610" s="52">
        <v>913</v>
      </c>
      <c r="C610" s="44"/>
      <c r="D610" s="44"/>
      <c r="E610" s="44"/>
      <c r="F610" s="44"/>
      <c r="G610" s="116">
        <f>G611+G705+G737+G771+G781+G823</f>
        <v>601025.19999999995</v>
      </c>
      <c r="H610" s="116">
        <f>H611+H705+H737+H771+H781+H823</f>
        <v>583974</v>
      </c>
      <c r="I610" s="116">
        <f>I611+I705+I737+I771+I781+I823</f>
        <v>585414.1</v>
      </c>
      <c r="J610" s="184"/>
      <c r="K610" s="184"/>
      <c r="L610" s="184"/>
      <c r="M610" s="67"/>
      <c r="N610" s="67"/>
      <c r="O610" s="67"/>
      <c r="P610" s="67"/>
      <c r="Q610" s="67"/>
      <c r="R610" s="67"/>
      <c r="S610" s="67"/>
      <c r="T610" s="67"/>
    </row>
    <row r="611" spans="1:20" s="82" customFormat="1" x14ac:dyDescent="0.25">
      <c r="A611" s="24" t="s">
        <v>304</v>
      </c>
      <c r="B611" s="53">
        <v>913</v>
      </c>
      <c r="C611" s="48" t="s">
        <v>26</v>
      </c>
      <c r="D611" s="48"/>
      <c r="E611" s="48"/>
      <c r="F611" s="48"/>
      <c r="G611" s="119">
        <f>G612+G617+G648+G653</f>
        <v>322782.09999999998</v>
      </c>
      <c r="H611" s="119">
        <f>H612+H617+H648+H653</f>
        <v>323716</v>
      </c>
      <c r="I611" s="119">
        <f>I612+I617+I648+I653</f>
        <v>309101.5</v>
      </c>
      <c r="J611" s="170"/>
      <c r="K611" s="170"/>
      <c r="L611" s="170"/>
      <c r="M611" s="141"/>
      <c r="N611" s="239"/>
      <c r="O611" s="239"/>
      <c r="P611" s="239"/>
      <c r="Q611" s="239"/>
      <c r="R611" s="239"/>
      <c r="S611" s="239"/>
      <c r="T611" s="239"/>
    </row>
    <row r="612" spans="1:20" s="82" customFormat="1" ht="28.5" customHeight="1" x14ac:dyDescent="0.25">
      <c r="A612" s="24" t="s">
        <v>319</v>
      </c>
      <c r="B612" s="53">
        <v>913</v>
      </c>
      <c r="C612" s="48" t="s">
        <v>26</v>
      </c>
      <c r="D612" s="48" t="s">
        <v>27</v>
      </c>
      <c r="E612" s="48"/>
      <c r="F612" s="48"/>
      <c r="G612" s="119">
        <f>G613</f>
        <v>2954</v>
      </c>
      <c r="H612" s="119">
        <f t="shared" ref="H612:I612" si="215">H613</f>
        <v>3072.1</v>
      </c>
      <c r="I612" s="119">
        <f t="shared" si="215"/>
        <v>3195.1</v>
      </c>
      <c r="J612" s="239"/>
      <c r="K612" s="239"/>
      <c r="L612" s="239"/>
      <c r="M612" s="239"/>
      <c r="N612" s="239"/>
      <c r="O612" s="239"/>
      <c r="P612" s="239"/>
      <c r="Q612" s="239"/>
      <c r="R612" s="239"/>
      <c r="S612" s="239"/>
      <c r="T612" s="239"/>
    </row>
    <row r="613" spans="1:20" s="82" customFormat="1" x14ac:dyDescent="0.25">
      <c r="A613" s="24" t="s">
        <v>134</v>
      </c>
      <c r="B613" s="53">
        <v>913</v>
      </c>
      <c r="C613" s="48" t="s">
        <v>26</v>
      </c>
      <c r="D613" s="48" t="s">
        <v>27</v>
      </c>
      <c r="E613" s="48" t="s">
        <v>135</v>
      </c>
      <c r="F613" s="48"/>
      <c r="G613" s="119">
        <f t="shared" ref="G613:I615" si="216">G614</f>
        <v>2954</v>
      </c>
      <c r="H613" s="119">
        <f t="shared" si="216"/>
        <v>3072.1</v>
      </c>
      <c r="I613" s="119">
        <f t="shared" si="216"/>
        <v>3195.1</v>
      </c>
      <c r="J613" s="239"/>
      <c r="K613" s="239"/>
      <c r="L613" s="239"/>
      <c r="M613" s="239"/>
      <c r="N613" s="239"/>
      <c r="O613" s="239"/>
      <c r="P613" s="239"/>
      <c r="Q613" s="239"/>
      <c r="R613" s="239"/>
      <c r="S613" s="239"/>
      <c r="T613" s="239"/>
    </row>
    <row r="614" spans="1:20" s="82" customFormat="1" x14ac:dyDescent="0.25">
      <c r="A614" s="24" t="s">
        <v>136</v>
      </c>
      <c r="B614" s="53">
        <v>913</v>
      </c>
      <c r="C614" s="48" t="s">
        <v>26</v>
      </c>
      <c r="D614" s="48" t="s">
        <v>27</v>
      </c>
      <c r="E614" s="48" t="s">
        <v>137</v>
      </c>
      <c r="F614" s="48"/>
      <c r="G614" s="119">
        <f t="shared" si="216"/>
        <v>2954</v>
      </c>
      <c r="H614" s="119">
        <f t="shared" si="216"/>
        <v>3072.1</v>
      </c>
      <c r="I614" s="119">
        <f t="shared" si="216"/>
        <v>3195.1</v>
      </c>
      <c r="J614" s="239"/>
      <c r="K614" s="239"/>
      <c r="L614" s="239"/>
      <c r="M614" s="239"/>
      <c r="N614" s="239"/>
      <c r="O614" s="239"/>
      <c r="P614" s="239"/>
      <c r="Q614" s="239"/>
      <c r="R614" s="239"/>
      <c r="S614" s="239"/>
      <c r="T614" s="239"/>
    </row>
    <row r="615" spans="1:20" s="82" customFormat="1" x14ac:dyDescent="0.25">
      <c r="A615" s="24" t="s">
        <v>138</v>
      </c>
      <c r="B615" s="53">
        <v>913</v>
      </c>
      <c r="C615" s="48" t="s">
        <v>26</v>
      </c>
      <c r="D615" s="48" t="s">
        <v>27</v>
      </c>
      <c r="E615" s="48" t="s">
        <v>139</v>
      </c>
      <c r="F615" s="48"/>
      <c r="G615" s="119">
        <f t="shared" si="216"/>
        <v>2954</v>
      </c>
      <c r="H615" s="119">
        <f t="shared" si="216"/>
        <v>3072.1</v>
      </c>
      <c r="I615" s="119">
        <f t="shared" si="216"/>
        <v>3195.1</v>
      </c>
      <c r="J615" s="239"/>
      <c r="K615" s="239"/>
      <c r="L615" s="239"/>
      <c r="M615" s="239"/>
      <c r="N615" s="239"/>
      <c r="O615" s="239"/>
      <c r="P615" s="239"/>
      <c r="Q615" s="239"/>
      <c r="R615" s="239"/>
      <c r="S615" s="239"/>
      <c r="T615" s="239"/>
    </row>
    <row r="616" spans="1:20" s="82" customFormat="1" ht="38.25" x14ac:dyDescent="0.25">
      <c r="A616" s="24" t="s">
        <v>225</v>
      </c>
      <c r="B616" s="53">
        <v>913</v>
      </c>
      <c r="C616" s="48" t="s">
        <v>26</v>
      </c>
      <c r="D616" s="48" t="s">
        <v>27</v>
      </c>
      <c r="E616" s="48" t="s">
        <v>139</v>
      </c>
      <c r="F616" s="48" t="s">
        <v>66</v>
      </c>
      <c r="G616" s="119">
        <v>2954</v>
      </c>
      <c r="H616" s="119">
        <v>3072.1</v>
      </c>
      <c r="I616" s="119">
        <v>3195.1</v>
      </c>
      <c r="J616" s="239"/>
      <c r="K616" s="239"/>
      <c r="L616" s="239"/>
      <c r="M616" s="239"/>
      <c r="N616" s="239"/>
      <c r="O616" s="239"/>
      <c r="P616" s="239"/>
      <c r="Q616" s="239"/>
      <c r="R616" s="239"/>
      <c r="S616" s="239"/>
      <c r="T616" s="239"/>
    </row>
    <row r="617" spans="1:20" s="82" customFormat="1" ht="38.25" x14ac:dyDescent="0.25">
      <c r="A617" s="24" t="s">
        <v>848</v>
      </c>
      <c r="B617" s="53">
        <v>913</v>
      </c>
      <c r="C617" s="48" t="s">
        <v>26</v>
      </c>
      <c r="D617" s="48" t="s">
        <v>29</v>
      </c>
      <c r="E617" s="48"/>
      <c r="F617" s="48"/>
      <c r="G617" s="119">
        <f>G638+G618+G645</f>
        <v>176911.89999999997</v>
      </c>
      <c r="H617" s="119">
        <f t="shared" ref="H617:I617" si="217">H638+H618+H645</f>
        <v>177222.09999999998</v>
      </c>
      <c r="I617" s="119">
        <f t="shared" si="217"/>
        <v>187191.59999999998</v>
      </c>
      <c r="J617" s="239"/>
      <c r="K617" s="239"/>
      <c r="L617" s="239"/>
      <c r="M617" s="239"/>
      <c r="N617" s="239"/>
      <c r="O617" s="239"/>
      <c r="P617" s="239"/>
      <c r="Q617" s="239"/>
      <c r="R617" s="239"/>
      <c r="S617" s="239"/>
      <c r="T617" s="239"/>
    </row>
    <row r="618" spans="1:20" s="82" customFormat="1" ht="25.5" x14ac:dyDescent="0.25">
      <c r="A618" s="23" t="s">
        <v>546</v>
      </c>
      <c r="B618" s="53">
        <v>913</v>
      </c>
      <c r="C618" s="48" t="s">
        <v>26</v>
      </c>
      <c r="D618" s="48" t="s">
        <v>29</v>
      </c>
      <c r="E618" s="48" t="s">
        <v>143</v>
      </c>
      <c r="F618" s="48"/>
      <c r="G618" s="119">
        <f>G619</f>
        <v>18472.900000000001</v>
      </c>
      <c r="H618" s="119">
        <f t="shared" ref="H618:I618" si="218">H619</f>
        <v>12872.9</v>
      </c>
      <c r="I618" s="119">
        <f t="shared" si="218"/>
        <v>16372.9</v>
      </c>
      <c r="J618" s="239"/>
      <c r="K618" s="239"/>
      <c r="L618" s="239"/>
      <c r="M618" s="239"/>
      <c r="N618" s="239"/>
      <c r="O618" s="239"/>
      <c r="P618" s="239"/>
      <c r="Q618" s="239"/>
      <c r="R618" s="239"/>
      <c r="S618" s="239"/>
      <c r="T618" s="239"/>
    </row>
    <row r="619" spans="1:20" s="82" customFormat="1" ht="38.25" x14ac:dyDescent="0.25">
      <c r="A619" s="23" t="s">
        <v>809</v>
      </c>
      <c r="B619" s="53">
        <v>913</v>
      </c>
      <c r="C619" s="48" t="s">
        <v>26</v>
      </c>
      <c r="D619" s="48" t="s">
        <v>29</v>
      </c>
      <c r="E619" s="48" t="s">
        <v>144</v>
      </c>
      <c r="F619" s="48"/>
      <c r="G619" s="119">
        <f>G620+G622+G626+G628+G630+G632+G634+G624+G636</f>
        <v>18472.900000000001</v>
      </c>
      <c r="H619" s="119">
        <f t="shared" ref="H619:I619" si="219">H620+H622+H626+H628+H630+H632+H634+H624+H636</f>
        <v>12872.9</v>
      </c>
      <c r="I619" s="119">
        <f t="shared" si="219"/>
        <v>16372.9</v>
      </c>
      <c r="J619" s="239"/>
      <c r="K619" s="239"/>
      <c r="L619" s="239"/>
      <c r="M619" s="239"/>
      <c r="N619" s="239"/>
      <c r="O619" s="239"/>
      <c r="P619" s="239"/>
      <c r="Q619" s="239"/>
      <c r="R619" s="239"/>
      <c r="S619" s="239"/>
      <c r="T619" s="239"/>
    </row>
    <row r="620" spans="1:20" s="82" customFormat="1" x14ac:dyDescent="0.25">
      <c r="A620" s="24" t="s">
        <v>344</v>
      </c>
      <c r="B620" s="53">
        <v>913</v>
      </c>
      <c r="C620" s="48" t="s">
        <v>26</v>
      </c>
      <c r="D620" s="48" t="s">
        <v>29</v>
      </c>
      <c r="E620" s="48" t="s">
        <v>345</v>
      </c>
      <c r="F620" s="48"/>
      <c r="G620" s="119">
        <f>G621</f>
        <v>4000</v>
      </c>
      <c r="H620" s="119">
        <f>H621</f>
        <v>0</v>
      </c>
      <c r="I620" s="119">
        <f>I621</f>
        <v>3500</v>
      </c>
      <c r="J620" s="239"/>
      <c r="K620" s="239"/>
      <c r="L620" s="239"/>
      <c r="M620" s="239"/>
      <c r="N620" s="239"/>
      <c r="O620" s="239"/>
      <c r="P620" s="239"/>
      <c r="Q620" s="239"/>
      <c r="R620" s="239"/>
      <c r="S620" s="239"/>
      <c r="T620" s="239"/>
    </row>
    <row r="621" spans="1:20" s="82" customFormat="1" ht="25.5" x14ac:dyDescent="0.25">
      <c r="A621" s="24" t="s">
        <v>226</v>
      </c>
      <c r="B621" s="53">
        <v>913</v>
      </c>
      <c r="C621" s="48" t="s">
        <v>26</v>
      </c>
      <c r="D621" s="48" t="s">
        <v>29</v>
      </c>
      <c r="E621" s="48" t="s">
        <v>345</v>
      </c>
      <c r="F621" s="48" t="s">
        <v>59</v>
      </c>
      <c r="G621" s="119">
        <v>4000</v>
      </c>
      <c r="H621" s="119"/>
      <c r="I621" s="119">
        <v>3500</v>
      </c>
      <c r="J621" s="239"/>
      <c r="K621" s="239"/>
      <c r="L621" s="239"/>
      <c r="M621" s="239"/>
      <c r="N621" s="239"/>
      <c r="O621" s="239"/>
      <c r="P621" s="239"/>
      <c r="Q621" s="239"/>
      <c r="R621" s="239"/>
      <c r="S621" s="239"/>
      <c r="T621" s="239"/>
    </row>
    <row r="622" spans="1:20" s="82" customFormat="1" ht="25.5" x14ac:dyDescent="0.25">
      <c r="A622" s="24" t="s">
        <v>271</v>
      </c>
      <c r="B622" s="53">
        <v>913</v>
      </c>
      <c r="C622" s="48" t="s">
        <v>26</v>
      </c>
      <c r="D622" s="48" t="s">
        <v>29</v>
      </c>
      <c r="E622" s="48" t="s">
        <v>272</v>
      </c>
      <c r="F622" s="48"/>
      <c r="G622" s="119">
        <f>G623</f>
        <v>72.900000000000006</v>
      </c>
      <c r="H622" s="119">
        <f>H623</f>
        <v>72.900000000000006</v>
      </c>
      <c r="I622" s="119">
        <f>I623</f>
        <v>72.900000000000006</v>
      </c>
      <c r="J622" s="239"/>
      <c r="K622" s="239"/>
      <c r="L622" s="239"/>
      <c r="M622" s="239"/>
      <c r="N622" s="239"/>
      <c r="O622" s="239"/>
      <c r="P622" s="239"/>
      <c r="Q622" s="239"/>
      <c r="R622" s="239"/>
      <c r="S622" s="239"/>
      <c r="T622" s="239"/>
    </row>
    <row r="623" spans="1:20" s="82" customFormat="1" ht="25.5" x14ac:dyDescent="0.25">
      <c r="A623" s="24" t="s">
        <v>226</v>
      </c>
      <c r="B623" s="53">
        <v>913</v>
      </c>
      <c r="C623" s="48" t="s">
        <v>26</v>
      </c>
      <c r="D623" s="48" t="s">
        <v>29</v>
      </c>
      <c r="E623" s="48" t="s">
        <v>272</v>
      </c>
      <c r="F623" s="48" t="s">
        <v>59</v>
      </c>
      <c r="G623" s="119">
        <v>72.900000000000006</v>
      </c>
      <c r="H623" s="119">
        <v>72.900000000000006</v>
      </c>
      <c r="I623" s="119">
        <v>72.900000000000006</v>
      </c>
      <c r="J623" s="239"/>
      <c r="K623" s="239"/>
      <c r="L623" s="239"/>
      <c r="M623" s="239"/>
      <c r="N623" s="239"/>
      <c r="O623" s="239"/>
      <c r="P623" s="239"/>
      <c r="Q623" s="239"/>
      <c r="R623" s="239"/>
      <c r="S623" s="239"/>
      <c r="T623" s="239"/>
    </row>
    <row r="624" spans="1:20" s="82" customFormat="1" ht="25.5" x14ac:dyDescent="0.25">
      <c r="A624" s="24" t="s">
        <v>718</v>
      </c>
      <c r="B624" s="53">
        <v>913</v>
      </c>
      <c r="C624" s="48" t="s">
        <v>26</v>
      </c>
      <c r="D624" s="48" t="s">
        <v>29</v>
      </c>
      <c r="E624" s="48" t="s">
        <v>717</v>
      </c>
      <c r="F624" s="48"/>
      <c r="G624" s="119">
        <f>G625</f>
        <v>3300</v>
      </c>
      <c r="H624" s="119">
        <f t="shared" ref="H624:I624" si="220">H625</f>
        <v>2000</v>
      </c>
      <c r="I624" s="119">
        <f t="shared" si="220"/>
        <v>2000</v>
      </c>
      <c r="J624" s="239"/>
      <c r="K624" s="239"/>
      <c r="L624" s="239"/>
      <c r="M624" s="239"/>
      <c r="N624" s="239"/>
      <c r="O624" s="239"/>
      <c r="P624" s="239"/>
      <c r="Q624" s="239"/>
      <c r="R624" s="239"/>
      <c r="S624" s="239"/>
      <c r="T624" s="239"/>
    </row>
    <row r="625" spans="1:20" s="82" customFormat="1" ht="25.5" x14ac:dyDescent="0.25">
      <c r="A625" s="24" t="s">
        <v>226</v>
      </c>
      <c r="B625" s="53">
        <v>913</v>
      </c>
      <c r="C625" s="48" t="s">
        <v>26</v>
      </c>
      <c r="D625" s="48" t="s">
        <v>29</v>
      </c>
      <c r="E625" s="48" t="s">
        <v>717</v>
      </c>
      <c r="F625" s="48" t="s">
        <v>59</v>
      </c>
      <c r="G625" s="119">
        <v>3300</v>
      </c>
      <c r="H625" s="119">
        <v>2000</v>
      </c>
      <c r="I625" s="119">
        <v>2000</v>
      </c>
      <c r="J625" s="239"/>
      <c r="K625" s="239"/>
      <c r="L625" s="239"/>
      <c r="M625" s="239"/>
      <c r="N625" s="239"/>
      <c r="O625" s="239"/>
      <c r="P625" s="239"/>
      <c r="Q625" s="239"/>
      <c r="R625" s="239"/>
      <c r="S625" s="239"/>
      <c r="T625" s="239"/>
    </row>
    <row r="626" spans="1:20" s="82" customFormat="1" x14ac:dyDescent="0.25">
      <c r="A626" s="24" t="s">
        <v>662</v>
      </c>
      <c r="B626" s="53">
        <v>913</v>
      </c>
      <c r="C626" s="48" t="s">
        <v>26</v>
      </c>
      <c r="D626" s="48" t="s">
        <v>29</v>
      </c>
      <c r="E626" s="48" t="s">
        <v>661</v>
      </c>
      <c r="F626" s="48"/>
      <c r="G626" s="119">
        <f>G627</f>
        <v>1300</v>
      </c>
      <c r="H626" s="119">
        <f t="shared" ref="H626:I626" si="221">H627</f>
        <v>1500</v>
      </c>
      <c r="I626" s="119">
        <f t="shared" si="221"/>
        <v>1500</v>
      </c>
      <c r="J626" s="239"/>
      <c r="K626" s="239"/>
      <c r="L626" s="239"/>
      <c r="M626" s="239"/>
      <c r="N626" s="239"/>
      <c r="O626" s="239"/>
      <c r="P626" s="239"/>
      <c r="Q626" s="239"/>
      <c r="R626" s="239"/>
      <c r="S626" s="239"/>
      <c r="T626" s="239"/>
    </row>
    <row r="627" spans="1:20" s="82" customFormat="1" ht="25.5" x14ac:dyDescent="0.25">
      <c r="A627" s="24" t="s">
        <v>226</v>
      </c>
      <c r="B627" s="53">
        <v>913</v>
      </c>
      <c r="C627" s="48" t="s">
        <v>26</v>
      </c>
      <c r="D627" s="48" t="s">
        <v>29</v>
      </c>
      <c r="E627" s="48" t="s">
        <v>661</v>
      </c>
      <c r="F627" s="48" t="s">
        <v>59</v>
      </c>
      <c r="G627" s="119">
        <v>1300</v>
      </c>
      <c r="H627" s="119">
        <v>1500</v>
      </c>
      <c r="I627" s="119">
        <v>1500</v>
      </c>
      <c r="J627" s="239"/>
      <c r="K627" s="239"/>
      <c r="L627" s="239"/>
      <c r="M627" s="239"/>
      <c r="N627" s="239"/>
      <c r="O627" s="239"/>
      <c r="P627" s="239"/>
      <c r="Q627" s="239"/>
      <c r="R627" s="239"/>
      <c r="S627" s="239"/>
      <c r="T627" s="239"/>
    </row>
    <row r="628" spans="1:20" s="82" customFormat="1" ht="38.25" x14ac:dyDescent="0.25">
      <c r="A628" s="24" t="s">
        <v>710</v>
      </c>
      <c r="B628" s="53">
        <v>913</v>
      </c>
      <c r="C628" s="48" t="s">
        <v>26</v>
      </c>
      <c r="D628" s="48" t="s">
        <v>29</v>
      </c>
      <c r="E628" s="48" t="s">
        <v>709</v>
      </c>
      <c r="F628" s="48"/>
      <c r="G628" s="119">
        <f>G629</f>
        <v>2000</v>
      </c>
      <c r="H628" s="119">
        <f t="shared" ref="H628:I628" si="222">H629</f>
        <v>2000</v>
      </c>
      <c r="I628" s="119">
        <f t="shared" si="222"/>
        <v>2000</v>
      </c>
      <c r="J628" s="239"/>
      <c r="K628" s="239"/>
      <c r="L628" s="239"/>
      <c r="M628" s="239"/>
      <c r="N628" s="239"/>
      <c r="O628" s="239"/>
      <c r="P628" s="239"/>
      <c r="Q628" s="239"/>
      <c r="R628" s="239"/>
      <c r="S628" s="239"/>
      <c r="T628" s="239"/>
    </row>
    <row r="629" spans="1:20" s="82" customFormat="1" ht="25.5" x14ac:dyDescent="0.25">
      <c r="A629" s="24" t="s">
        <v>226</v>
      </c>
      <c r="B629" s="53">
        <v>913</v>
      </c>
      <c r="C629" s="48" t="s">
        <v>26</v>
      </c>
      <c r="D629" s="48" t="s">
        <v>29</v>
      </c>
      <c r="E629" s="48" t="s">
        <v>709</v>
      </c>
      <c r="F629" s="48" t="s">
        <v>59</v>
      </c>
      <c r="G629" s="119">
        <v>2000</v>
      </c>
      <c r="H629" s="119">
        <v>2000</v>
      </c>
      <c r="I629" s="119">
        <v>2000</v>
      </c>
      <c r="J629" s="239"/>
      <c r="K629" s="239"/>
      <c r="L629" s="239"/>
      <c r="M629" s="239"/>
      <c r="N629" s="239"/>
      <c r="O629" s="239"/>
      <c r="P629" s="239"/>
      <c r="Q629" s="239"/>
      <c r="R629" s="239"/>
      <c r="S629" s="239"/>
      <c r="T629" s="239"/>
    </row>
    <row r="630" spans="1:20" s="82" customFormat="1" ht="38.25" x14ac:dyDescent="0.25">
      <c r="A630" s="24" t="s">
        <v>712</v>
      </c>
      <c r="B630" s="53">
        <v>913</v>
      </c>
      <c r="C630" s="48" t="s">
        <v>26</v>
      </c>
      <c r="D630" s="48" t="s">
        <v>29</v>
      </c>
      <c r="E630" s="48" t="s">
        <v>711</v>
      </c>
      <c r="F630" s="48"/>
      <c r="G630" s="119">
        <f>G631</f>
        <v>5500</v>
      </c>
      <c r="H630" s="119">
        <f t="shared" ref="H630:I630" si="223">H631</f>
        <v>5000</v>
      </c>
      <c r="I630" s="119">
        <f t="shared" si="223"/>
        <v>5000</v>
      </c>
      <c r="J630" s="239"/>
      <c r="K630" s="239"/>
      <c r="L630" s="239"/>
      <c r="M630" s="239"/>
      <c r="N630" s="239"/>
      <c r="O630" s="239"/>
      <c r="P630" s="239"/>
      <c r="Q630" s="239"/>
      <c r="R630" s="239"/>
      <c r="S630" s="239"/>
      <c r="T630" s="239"/>
    </row>
    <row r="631" spans="1:20" s="82" customFormat="1" ht="25.5" x14ac:dyDescent="0.25">
      <c r="A631" s="24" t="s">
        <v>226</v>
      </c>
      <c r="B631" s="53">
        <v>913</v>
      </c>
      <c r="C631" s="48" t="s">
        <v>26</v>
      </c>
      <c r="D631" s="48" t="s">
        <v>29</v>
      </c>
      <c r="E631" s="48" t="s">
        <v>711</v>
      </c>
      <c r="F631" s="48" t="s">
        <v>59</v>
      </c>
      <c r="G631" s="119">
        <v>5500</v>
      </c>
      <c r="H631" s="119">
        <v>5000</v>
      </c>
      <c r="I631" s="119">
        <v>5000</v>
      </c>
      <c r="J631" s="239"/>
      <c r="K631" s="239"/>
      <c r="L631" s="239"/>
      <c r="M631" s="239"/>
      <c r="N631" s="239"/>
      <c r="O631" s="239"/>
      <c r="P631" s="239"/>
      <c r="Q631" s="239"/>
      <c r="R631" s="239"/>
      <c r="S631" s="239"/>
      <c r="T631" s="239"/>
    </row>
    <row r="632" spans="1:20" s="82" customFormat="1" ht="25.5" x14ac:dyDescent="0.25">
      <c r="A632" s="24" t="s">
        <v>714</v>
      </c>
      <c r="B632" s="53">
        <v>913</v>
      </c>
      <c r="C632" s="48" t="s">
        <v>26</v>
      </c>
      <c r="D632" s="48" t="s">
        <v>29</v>
      </c>
      <c r="E632" s="48" t="s">
        <v>713</v>
      </c>
      <c r="F632" s="48"/>
      <c r="G632" s="119">
        <f>G633</f>
        <v>800</v>
      </c>
      <c r="H632" s="119">
        <f t="shared" ref="H632:I632" si="224">H633</f>
        <v>800</v>
      </c>
      <c r="I632" s="119">
        <f t="shared" si="224"/>
        <v>800</v>
      </c>
      <c r="J632" s="239"/>
      <c r="K632" s="239"/>
      <c r="L632" s="239"/>
      <c r="M632" s="239"/>
      <c r="N632" s="239"/>
      <c r="O632" s="239"/>
      <c r="P632" s="239"/>
      <c r="Q632" s="239"/>
      <c r="R632" s="239"/>
      <c r="S632" s="239"/>
      <c r="T632" s="239"/>
    </row>
    <row r="633" spans="1:20" s="82" customFormat="1" ht="25.5" x14ac:dyDescent="0.25">
      <c r="A633" s="24" t="s">
        <v>226</v>
      </c>
      <c r="B633" s="53">
        <v>913</v>
      </c>
      <c r="C633" s="48" t="s">
        <v>26</v>
      </c>
      <c r="D633" s="48" t="s">
        <v>29</v>
      </c>
      <c r="E633" s="48" t="s">
        <v>713</v>
      </c>
      <c r="F633" s="48" t="s">
        <v>59</v>
      </c>
      <c r="G633" s="119">
        <v>800</v>
      </c>
      <c r="H633" s="119">
        <v>800</v>
      </c>
      <c r="I633" s="119">
        <v>800</v>
      </c>
      <c r="J633" s="239"/>
      <c r="K633" s="239"/>
      <c r="L633" s="239"/>
      <c r="M633" s="239"/>
      <c r="N633" s="239"/>
      <c r="O633" s="239"/>
      <c r="P633" s="239"/>
      <c r="Q633" s="239"/>
      <c r="R633" s="239"/>
      <c r="S633" s="239"/>
      <c r="T633" s="239"/>
    </row>
    <row r="634" spans="1:20" s="82" customFormat="1" ht="38.25" x14ac:dyDescent="0.25">
      <c r="A634" s="24" t="s">
        <v>716</v>
      </c>
      <c r="B634" s="53">
        <v>913</v>
      </c>
      <c r="C634" s="48" t="s">
        <v>26</v>
      </c>
      <c r="D634" s="48" t="s">
        <v>29</v>
      </c>
      <c r="E634" s="48" t="s">
        <v>715</v>
      </c>
      <c r="F634" s="48"/>
      <c r="G634" s="119">
        <f>G635</f>
        <v>500</v>
      </c>
      <c r="H634" s="119">
        <f t="shared" ref="H634:I634" si="225">H635</f>
        <v>500</v>
      </c>
      <c r="I634" s="119">
        <f t="shared" si="225"/>
        <v>500</v>
      </c>
      <c r="J634" s="239"/>
      <c r="K634" s="239"/>
      <c r="L634" s="239"/>
      <c r="M634" s="239"/>
      <c r="N634" s="239"/>
      <c r="O634" s="239"/>
      <c r="P634" s="239"/>
      <c r="Q634" s="239"/>
      <c r="R634" s="239"/>
      <c r="S634" s="239"/>
      <c r="T634" s="239"/>
    </row>
    <row r="635" spans="1:20" s="82" customFormat="1" ht="25.5" x14ac:dyDescent="0.25">
      <c r="A635" s="24" t="s">
        <v>226</v>
      </c>
      <c r="B635" s="53">
        <v>913</v>
      </c>
      <c r="C635" s="48" t="s">
        <v>26</v>
      </c>
      <c r="D635" s="48" t="s">
        <v>29</v>
      </c>
      <c r="E635" s="48" t="s">
        <v>715</v>
      </c>
      <c r="F635" s="48" t="s">
        <v>59</v>
      </c>
      <c r="G635" s="119">
        <v>500</v>
      </c>
      <c r="H635" s="119">
        <v>500</v>
      </c>
      <c r="I635" s="119">
        <v>500</v>
      </c>
      <c r="J635" s="239"/>
      <c r="K635" s="239"/>
      <c r="L635" s="239"/>
      <c r="M635" s="239"/>
      <c r="N635" s="239"/>
      <c r="O635" s="239"/>
      <c r="P635" s="239"/>
      <c r="Q635" s="239"/>
      <c r="R635" s="239"/>
      <c r="S635" s="239"/>
      <c r="T635" s="239"/>
    </row>
    <row r="636" spans="1:20" s="82" customFormat="1" ht="25.5" x14ac:dyDescent="0.25">
      <c r="A636" s="24" t="s">
        <v>873</v>
      </c>
      <c r="B636" s="53">
        <v>913</v>
      </c>
      <c r="C636" s="48" t="s">
        <v>26</v>
      </c>
      <c r="D636" s="48" t="s">
        <v>29</v>
      </c>
      <c r="E636" s="48" t="s">
        <v>872</v>
      </c>
      <c r="F636" s="48"/>
      <c r="G636" s="119">
        <f>G637</f>
        <v>1000</v>
      </c>
      <c r="H636" s="119">
        <f t="shared" ref="H636:I636" si="226">H637</f>
        <v>1000</v>
      </c>
      <c r="I636" s="119">
        <f t="shared" si="226"/>
        <v>1000</v>
      </c>
      <c r="J636" s="239"/>
      <c r="K636" s="239"/>
      <c r="L636" s="239"/>
      <c r="M636" s="239"/>
      <c r="N636" s="239"/>
      <c r="O636" s="239"/>
      <c r="P636" s="239"/>
      <c r="Q636" s="239"/>
      <c r="R636" s="239"/>
      <c r="S636" s="239"/>
      <c r="T636" s="239"/>
    </row>
    <row r="637" spans="1:20" s="82" customFormat="1" ht="25.5" x14ac:dyDescent="0.25">
      <c r="A637" s="24" t="s">
        <v>226</v>
      </c>
      <c r="B637" s="53">
        <v>913</v>
      </c>
      <c r="C637" s="48" t="s">
        <v>26</v>
      </c>
      <c r="D637" s="48" t="s">
        <v>29</v>
      </c>
      <c r="E637" s="48" t="s">
        <v>872</v>
      </c>
      <c r="F637" s="48" t="s">
        <v>59</v>
      </c>
      <c r="G637" s="119">
        <v>1000</v>
      </c>
      <c r="H637" s="119">
        <v>1000</v>
      </c>
      <c r="I637" s="119">
        <v>1000</v>
      </c>
      <c r="J637" s="239"/>
      <c r="K637" s="239"/>
      <c r="L637" s="239"/>
      <c r="M637" s="239"/>
      <c r="N637" s="239"/>
      <c r="O637" s="239"/>
      <c r="P637" s="239"/>
      <c r="Q637" s="239"/>
      <c r="R637" s="239"/>
      <c r="S637" s="239"/>
      <c r="T637" s="239"/>
    </row>
    <row r="638" spans="1:20" s="82" customFormat="1" ht="29.25" customHeight="1" x14ac:dyDescent="0.25">
      <c r="A638" s="24" t="s">
        <v>220</v>
      </c>
      <c r="B638" s="53">
        <v>913</v>
      </c>
      <c r="C638" s="48" t="s">
        <v>26</v>
      </c>
      <c r="D638" s="48" t="s">
        <v>29</v>
      </c>
      <c r="E638" s="48" t="s">
        <v>140</v>
      </c>
      <c r="F638" s="48"/>
      <c r="G638" s="119">
        <f t="shared" ref="G638:I639" si="227">G639</f>
        <v>157968.99999999997</v>
      </c>
      <c r="H638" s="119">
        <f t="shared" si="227"/>
        <v>163879.19999999998</v>
      </c>
      <c r="I638" s="119">
        <f t="shared" si="227"/>
        <v>170348.69999999998</v>
      </c>
      <c r="J638" s="239"/>
      <c r="K638" s="239"/>
      <c r="L638" s="239"/>
      <c r="M638" s="239"/>
      <c r="N638" s="239"/>
      <c r="O638" s="239"/>
      <c r="P638" s="239"/>
      <c r="Q638" s="239"/>
      <c r="R638" s="239"/>
      <c r="S638" s="239"/>
      <c r="T638" s="239"/>
    </row>
    <row r="639" spans="1:20" s="82" customFormat="1" x14ac:dyDescent="0.25">
      <c r="A639" s="24" t="s">
        <v>217</v>
      </c>
      <c r="B639" s="53">
        <v>913</v>
      </c>
      <c r="C639" s="48" t="s">
        <v>26</v>
      </c>
      <c r="D639" s="48" t="s">
        <v>29</v>
      </c>
      <c r="E639" s="48" t="s">
        <v>141</v>
      </c>
      <c r="F639" s="48"/>
      <c r="G639" s="119">
        <f t="shared" si="227"/>
        <v>157968.99999999997</v>
      </c>
      <c r="H639" s="119">
        <f t="shared" si="227"/>
        <v>163879.19999999998</v>
      </c>
      <c r="I639" s="119">
        <f t="shared" si="227"/>
        <v>170348.69999999998</v>
      </c>
      <c r="J639" s="239"/>
      <c r="K639" s="239"/>
      <c r="L639" s="239"/>
      <c r="M639" s="239"/>
      <c r="N639" s="239"/>
      <c r="O639" s="239"/>
      <c r="P639" s="239"/>
      <c r="Q639" s="239"/>
      <c r="R639" s="239"/>
      <c r="S639" s="239"/>
      <c r="T639" s="239"/>
    </row>
    <row r="640" spans="1:20" s="82" customFormat="1" x14ac:dyDescent="0.25">
      <c r="A640" s="24" t="s">
        <v>138</v>
      </c>
      <c r="B640" s="53">
        <v>913</v>
      </c>
      <c r="C640" s="48" t="s">
        <v>26</v>
      </c>
      <c r="D640" s="48" t="s">
        <v>29</v>
      </c>
      <c r="E640" s="48" t="s">
        <v>142</v>
      </c>
      <c r="F640" s="48"/>
      <c r="G640" s="119">
        <f>G641+G642+G644+G643</f>
        <v>157968.99999999997</v>
      </c>
      <c r="H640" s="119">
        <f t="shared" ref="H640:I640" si="228">H641+H642+H644+H643</f>
        <v>163879.19999999998</v>
      </c>
      <c r="I640" s="119">
        <f t="shared" si="228"/>
        <v>170348.69999999998</v>
      </c>
      <c r="J640" s="239"/>
      <c r="K640" s="239"/>
      <c r="L640" s="239"/>
      <c r="M640" s="239"/>
      <c r="N640" s="239"/>
      <c r="O640" s="239"/>
      <c r="P640" s="239"/>
      <c r="Q640" s="239"/>
      <c r="R640" s="239"/>
      <c r="S640" s="239"/>
      <c r="T640" s="239"/>
    </row>
    <row r="641" spans="1:20" s="82" customFormat="1" ht="45" customHeight="1" x14ac:dyDescent="0.25">
      <c r="A641" s="24" t="s">
        <v>225</v>
      </c>
      <c r="B641" s="53">
        <v>913</v>
      </c>
      <c r="C641" s="48" t="s">
        <v>26</v>
      </c>
      <c r="D641" s="48" t="s">
        <v>29</v>
      </c>
      <c r="E641" s="48" t="s">
        <v>142</v>
      </c>
      <c r="F641" s="48" t="s">
        <v>66</v>
      </c>
      <c r="G641" s="119">
        <f>155868.6-180.7-180.7-28</f>
        <v>155479.19999999998</v>
      </c>
      <c r="H641" s="119">
        <v>162086.79999999999</v>
      </c>
      <c r="I641" s="119">
        <v>168556.3</v>
      </c>
      <c r="J641" s="239"/>
      <c r="K641" s="239"/>
      <c r="L641" s="239"/>
      <c r="M641" s="239"/>
      <c r="N641" s="239"/>
      <c r="O641" s="239"/>
      <c r="P641" s="239"/>
      <c r="Q641" s="239"/>
      <c r="R641" s="239"/>
      <c r="S641" s="239"/>
      <c r="T641" s="239"/>
    </row>
    <row r="642" spans="1:20" s="82" customFormat="1" ht="29.25" customHeight="1" x14ac:dyDescent="0.25">
      <c r="A642" s="24" t="s">
        <v>226</v>
      </c>
      <c r="B642" s="53">
        <v>913</v>
      </c>
      <c r="C642" s="48" t="s">
        <v>26</v>
      </c>
      <c r="D642" s="48" t="s">
        <v>29</v>
      </c>
      <c r="E642" s="48" t="s">
        <v>142</v>
      </c>
      <c r="F642" s="48" t="s">
        <v>59</v>
      </c>
      <c r="G642" s="119">
        <f>2107.4-50</f>
        <v>2057.4</v>
      </c>
      <c r="H642" s="119">
        <v>1749.4</v>
      </c>
      <c r="I642" s="119">
        <v>1749.4</v>
      </c>
      <c r="J642" s="239"/>
      <c r="K642" s="239"/>
      <c r="L642" s="239"/>
      <c r="M642" s="239"/>
      <c r="N642" s="239"/>
      <c r="O642" s="239"/>
      <c r="P642" s="239"/>
      <c r="Q642" s="239"/>
      <c r="R642" s="239"/>
      <c r="S642" s="239"/>
      <c r="T642" s="239"/>
    </row>
    <row r="643" spans="1:20" s="82" customFormat="1" x14ac:dyDescent="0.25">
      <c r="A643" s="28" t="s">
        <v>85</v>
      </c>
      <c r="B643" s="53">
        <v>913</v>
      </c>
      <c r="C643" s="48" t="s">
        <v>26</v>
      </c>
      <c r="D643" s="48" t="s">
        <v>29</v>
      </c>
      <c r="E643" s="48" t="s">
        <v>142</v>
      </c>
      <c r="F643" s="48" t="s">
        <v>86</v>
      </c>
      <c r="G643" s="119">
        <f>180.7+180.7</f>
        <v>361.4</v>
      </c>
      <c r="H643" s="119">
        <v>0</v>
      </c>
      <c r="I643" s="119">
        <v>0</v>
      </c>
      <c r="J643" s="239"/>
      <c r="K643" s="239"/>
      <c r="L643" s="239"/>
      <c r="M643" s="239"/>
      <c r="N643" s="239"/>
      <c r="O643" s="239"/>
      <c r="P643" s="239"/>
      <c r="Q643" s="239"/>
      <c r="R643" s="239"/>
      <c r="S643" s="239"/>
      <c r="T643" s="239"/>
    </row>
    <row r="644" spans="1:20" s="82" customFormat="1" x14ac:dyDescent="0.25">
      <c r="A644" s="24" t="s">
        <v>95</v>
      </c>
      <c r="B644" s="53">
        <v>913</v>
      </c>
      <c r="C644" s="48" t="s">
        <v>26</v>
      </c>
      <c r="D644" s="48" t="s">
        <v>29</v>
      </c>
      <c r="E644" s="48" t="s">
        <v>142</v>
      </c>
      <c r="F644" s="48" t="s">
        <v>62</v>
      </c>
      <c r="G644" s="119">
        <f>43+28</f>
        <v>71</v>
      </c>
      <c r="H644" s="119">
        <v>43</v>
      </c>
      <c r="I644" s="119">
        <v>43</v>
      </c>
      <c r="J644" s="239"/>
      <c r="K644" s="239"/>
      <c r="L644" s="239"/>
      <c r="M644" s="239"/>
      <c r="N644" s="239"/>
      <c r="O644" s="239"/>
      <c r="P644" s="239"/>
      <c r="Q644" s="239"/>
      <c r="R644" s="239"/>
      <c r="S644" s="239"/>
      <c r="T644" s="239"/>
    </row>
    <row r="645" spans="1:20" s="82" customFormat="1" x14ac:dyDescent="0.25">
      <c r="A645" s="24" t="s">
        <v>94</v>
      </c>
      <c r="B645" s="53">
        <v>913</v>
      </c>
      <c r="C645" s="48" t="s">
        <v>26</v>
      </c>
      <c r="D645" s="48" t="s">
        <v>29</v>
      </c>
      <c r="E645" s="48" t="s">
        <v>120</v>
      </c>
      <c r="F645" s="48"/>
      <c r="G645" s="119">
        <f>G646</f>
        <v>470</v>
      </c>
      <c r="H645" s="119">
        <f t="shared" ref="H645:I646" si="229">H646</f>
        <v>470</v>
      </c>
      <c r="I645" s="119">
        <f t="shared" si="229"/>
        <v>470</v>
      </c>
      <c r="J645" s="239"/>
      <c r="K645" s="239"/>
      <c r="L645" s="239"/>
      <c r="M645" s="239"/>
      <c r="N645" s="239"/>
      <c r="O645" s="239"/>
      <c r="P645" s="239"/>
      <c r="Q645" s="239"/>
      <c r="R645" s="239"/>
      <c r="S645" s="239"/>
      <c r="T645" s="239"/>
    </row>
    <row r="646" spans="1:20" s="82" customFormat="1" x14ac:dyDescent="0.25">
      <c r="A646" s="24" t="s">
        <v>379</v>
      </c>
      <c r="B646" s="53">
        <v>913</v>
      </c>
      <c r="C646" s="48" t="s">
        <v>26</v>
      </c>
      <c r="D646" s="48" t="s">
        <v>29</v>
      </c>
      <c r="E646" s="48" t="s">
        <v>380</v>
      </c>
      <c r="F646" s="48"/>
      <c r="G646" s="119">
        <f>G647</f>
        <v>470</v>
      </c>
      <c r="H646" s="119">
        <f t="shared" si="229"/>
        <v>470</v>
      </c>
      <c r="I646" s="119">
        <f t="shared" si="229"/>
        <v>470</v>
      </c>
      <c r="J646" s="239"/>
      <c r="K646" s="239"/>
      <c r="L646" s="239"/>
      <c r="M646" s="239"/>
      <c r="N646" s="239"/>
      <c r="O646" s="239"/>
      <c r="P646" s="239"/>
      <c r="Q646" s="239"/>
      <c r="R646" s="239"/>
      <c r="S646" s="239"/>
      <c r="T646" s="239"/>
    </row>
    <row r="647" spans="1:20" s="82" customFormat="1" ht="25.5" x14ac:dyDescent="0.25">
      <c r="A647" s="24" t="s">
        <v>226</v>
      </c>
      <c r="B647" s="53">
        <v>913</v>
      </c>
      <c r="C647" s="48" t="s">
        <v>26</v>
      </c>
      <c r="D647" s="48" t="s">
        <v>29</v>
      </c>
      <c r="E647" s="48" t="s">
        <v>380</v>
      </c>
      <c r="F647" s="48" t="s">
        <v>59</v>
      </c>
      <c r="G647" s="119">
        <v>470</v>
      </c>
      <c r="H647" s="119">
        <v>470</v>
      </c>
      <c r="I647" s="119">
        <v>470</v>
      </c>
      <c r="J647" s="239"/>
      <c r="K647" s="239"/>
      <c r="L647" s="239"/>
      <c r="M647" s="239"/>
      <c r="N647" s="239"/>
      <c r="O647" s="239"/>
      <c r="P647" s="239"/>
      <c r="Q647" s="239"/>
      <c r="R647" s="239"/>
      <c r="S647" s="239"/>
      <c r="T647" s="239"/>
    </row>
    <row r="648" spans="1:20" s="82" customFormat="1" x14ac:dyDescent="0.25">
      <c r="A648" s="24" t="s">
        <v>262</v>
      </c>
      <c r="B648" s="53">
        <v>913</v>
      </c>
      <c r="C648" s="48" t="s">
        <v>26</v>
      </c>
      <c r="D648" s="48" t="s">
        <v>30</v>
      </c>
      <c r="E648" s="48"/>
      <c r="F648" s="48"/>
      <c r="G648" s="119">
        <f t="shared" ref="G648:I651" si="230">G649</f>
        <v>2125</v>
      </c>
      <c r="H648" s="119">
        <f t="shared" si="230"/>
        <v>2207</v>
      </c>
      <c r="I648" s="119">
        <f t="shared" si="230"/>
        <v>2294</v>
      </c>
      <c r="J648" s="239"/>
      <c r="K648" s="239"/>
      <c r="L648" s="239"/>
      <c r="M648" s="239"/>
      <c r="N648" s="239"/>
      <c r="O648" s="239"/>
      <c r="P648" s="239"/>
      <c r="Q648" s="239"/>
      <c r="R648" s="239"/>
      <c r="S648" s="239"/>
      <c r="T648" s="239"/>
    </row>
    <row r="649" spans="1:20" s="82" customFormat="1" x14ac:dyDescent="0.25">
      <c r="A649" s="24" t="s">
        <v>263</v>
      </c>
      <c r="B649" s="53">
        <v>913</v>
      </c>
      <c r="C649" s="48" t="s">
        <v>26</v>
      </c>
      <c r="D649" s="48" t="s">
        <v>30</v>
      </c>
      <c r="E649" s="48" t="s">
        <v>264</v>
      </c>
      <c r="F649" s="48"/>
      <c r="G649" s="119">
        <f>G650</f>
        <v>2125</v>
      </c>
      <c r="H649" s="119">
        <f t="shared" si="230"/>
        <v>2207</v>
      </c>
      <c r="I649" s="119">
        <f t="shared" si="230"/>
        <v>2294</v>
      </c>
      <c r="J649" s="239"/>
      <c r="K649" s="239"/>
      <c r="L649" s="239"/>
      <c r="M649" s="239"/>
      <c r="N649" s="239"/>
      <c r="O649" s="239"/>
      <c r="P649" s="239"/>
      <c r="Q649" s="239"/>
      <c r="R649" s="239"/>
      <c r="S649" s="239"/>
      <c r="T649" s="239"/>
    </row>
    <row r="650" spans="1:20" s="82" customFormat="1" x14ac:dyDescent="0.25">
      <c r="A650" s="24" t="s">
        <v>265</v>
      </c>
      <c r="B650" s="53">
        <v>913</v>
      </c>
      <c r="C650" s="48" t="s">
        <v>26</v>
      </c>
      <c r="D650" s="48" t="s">
        <v>30</v>
      </c>
      <c r="E650" s="48" t="s">
        <v>266</v>
      </c>
      <c r="F650" s="48"/>
      <c r="G650" s="119">
        <f>G651</f>
        <v>2125</v>
      </c>
      <c r="H650" s="119">
        <f t="shared" si="230"/>
        <v>2207</v>
      </c>
      <c r="I650" s="119">
        <f t="shared" si="230"/>
        <v>2294</v>
      </c>
      <c r="J650" s="239"/>
      <c r="K650" s="239"/>
      <c r="L650" s="239"/>
      <c r="M650" s="239"/>
      <c r="N650" s="239"/>
      <c r="O650" s="239"/>
      <c r="P650" s="239"/>
      <c r="Q650" s="239"/>
      <c r="R650" s="239"/>
      <c r="S650" s="239"/>
      <c r="T650" s="239"/>
    </row>
    <row r="651" spans="1:20" s="82" customFormat="1" x14ac:dyDescent="0.25">
      <c r="A651" s="24" t="s">
        <v>267</v>
      </c>
      <c r="B651" s="53">
        <v>913</v>
      </c>
      <c r="C651" s="48" t="s">
        <v>26</v>
      </c>
      <c r="D651" s="48" t="s">
        <v>30</v>
      </c>
      <c r="E651" s="48" t="s">
        <v>268</v>
      </c>
      <c r="F651" s="48"/>
      <c r="G651" s="119">
        <f t="shared" si="230"/>
        <v>2125</v>
      </c>
      <c r="H651" s="119">
        <f t="shared" si="230"/>
        <v>2207</v>
      </c>
      <c r="I651" s="119">
        <f t="shared" si="230"/>
        <v>2294</v>
      </c>
      <c r="J651" s="239"/>
      <c r="K651" s="239"/>
      <c r="L651" s="239"/>
      <c r="M651" s="239"/>
      <c r="N651" s="239"/>
      <c r="O651" s="239"/>
      <c r="P651" s="239"/>
      <c r="Q651" s="239"/>
      <c r="R651" s="239"/>
      <c r="S651" s="239"/>
      <c r="T651" s="239"/>
    </row>
    <row r="652" spans="1:20" s="82" customFormat="1" x14ac:dyDescent="0.25">
      <c r="A652" s="24" t="s">
        <v>95</v>
      </c>
      <c r="B652" s="53">
        <v>913</v>
      </c>
      <c r="C652" s="48" t="s">
        <v>26</v>
      </c>
      <c r="D652" s="48" t="s">
        <v>30</v>
      </c>
      <c r="E652" s="48" t="s">
        <v>268</v>
      </c>
      <c r="F652" s="48" t="s">
        <v>62</v>
      </c>
      <c r="G652" s="119">
        <v>2125</v>
      </c>
      <c r="H652" s="119">
        <v>2207</v>
      </c>
      <c r="I652" s="119">
        <v>2294</v>
      </c>
      <c r="J652" s="239"/>
      <c r="K652" s="239"/>
      <c r="L652" s="239"/>
      <c r="M652" s="239"/>
      <c r="N652" s="239"/>
      <c r="O652" s="239"/>
      <c r="P652" s="239"/>
      <c r="Q652" s="239"/>
      <c r="R652" s="239"/>
      <c r="S652" s="239"/>
      <c r="T652" s="239"/>
    </row>
    <row r="653" spans="1:20" s="82" customFormat="1" x14ac:dyDescent="0.25">
      <c r="A653" s="24" t="s">
        <v>40</v>
      </c>
      <c r="B653" s="53">
        <v>913</v>
      </c>
      <c r="C653" s="48" t="s">
        <v>26</v>
      </c>
      <c r="D653" s="48" t="s">
        <v>48</v>
      </c>
      <c r="E653" s="48"/>
      <c r="F653" s="48"/>
      <c r="G653" s="119">
        <f>G654+G658+G686+G689+G692+G697+G669</f>
        <v>140791.20000000001</v>
      </c>
      <c r="H653" s="119">
        <f>H654+H658+H686+H689+H692+H697+H669</f>
        <v>141214.79999999999</v>
      </c>
      <c r="I653" s="119">
        <f>I654+I658+I686+I689+I692+I697+I669</f>
        <v>116420.8</v>
      </c>
      <c r="J653" s="239"/>
      <c r="K653" s="239"/>
      <c r="L653" s="239"/>
      <c r="M653" s="239"/>
      <c r="N653" s="239"/>
      <c r="O653" s="239"/>
      <c r="P653" s="239"/>
      <c r="Q653" s="239"/>
      <c r="R653" s="239"/>
      <c r="S653" s="239"/>
      <c r="T653" s="239"/>
    </row>
    <row r="654" spans="1:20" s="82" customFormat="1" ht="25.5" x14ac:dyDescent="0.25">
      <c r="A654" s="24" t="s">
        <v>476</v>
      </c>
      <c r="B654" s="53">
        <v>913</v>
      </c>
      <c r="C654" s="48" t="s">
        <v>26</v>
      </c>
      <c r="D654" s="48" t="s">
        <v>48</v>
      </c>
      <c r="E654" s="48" t="s">
        <v>128</v>
      </c>
      <c r="F654" s="48"/>
      <c r="G654" s="119">
        <f>G655</f>
        <v>58591</v>
      </c>
      <c r="H654" s="119">
        <f>H655</f>
        <v>58591</v>
      </c>
      <c r="I654" s="119">
        <f>I655</f>
        <v>58591</v>
      </c>
      <c r="J654" s="239"/>
      <c r="K654" s="239"/>
      <c r="L654" s="239"/>
      <c r="M654" s="239"/>
      <c r="N654" s="239"/>
      <c r="O654" s="239"/>
      <c r="P654" s="239"/>
      <c r="Q654" s="239"/>
      <c r="R654" s="239"/>
      <c r="S654" s="239"/>
      <c r="T654" s="239"/>
    </row>
    <row r="655" spans="1:20" s="82" customFormat="1" ht="25.5" x14ac:dyDescent="0.25">
      <c r="A655" s="24" t="s">
        <v>816</v>
      </c>
      <c r="B655" s="53">
        <v>913</v>
      </c>
      <c r="C655" s="48" t="s">
        <v>26</v>
      </c>
      <c r="D655" s="48" t="s">
        <v>48</v>
      </c>
      <c r="E655" s="48" t="s">
        <v>129</v>
      </c>
      <c r="F655" s="48"/>
      <c r="G655" s="119">
        <f>G656</f>
        <v>58591</v>
      </c>
      <c r="H655" s="119">
        <f t="shared" ref="H655:I656" si="231">H656</f>
        <v>58591</v>
      </c>
      <c r="I655" s="119">
        <f t="shared" si="231"/>
        <v>58591</v>
      </c>
      <c r="J655" s="239"/>
      <c r="K655" s="239"/>
      <c r="L655" s="239"/>
      <c r="M655" s="239"/>
      <c r="N655" s="239"/>
      <c r="O655" s="239"/>
      <c r="P655" s="239"/>
      <c r="Q655" s="239"/>
      <c r="R655" s="239"/>
      <c r="S655" s="239"/>
      <c r="T655" s="239"/>
    </row>
    <row r="656" spans="1:20" s="82" customFormat="1" ht="89.25" x14ac:dyDescent="0.25">
      <c r="A656" s="24" t="s">
        <v>900</v>
      </c>
      <c r="B656" s="53">
        <v>913</v>
      </c>
      <c r="C656" s="48" t="s">
        <v>26</v>
      </c>
      <c r="D656" s="48" t="s">
        <v>48</v>
      </c>
      <c r="E656" s="48" t="s">
        <v>899</v>
      </c>
      <c r="F656" s="48"/>
      <c r="G656" s="119">
        <f>G657</f>
        <v>58591</v>
      </c>
      <c r="H656" s="119">
        <f t="shared" si="231"/>
        <v>58591</v>
      </c>
      <c r="I656" s="119">
        <f t="shared" si="231"/>
        <v>58591</v>
      </c>
      <c r="J656" s="239"/>
      <c r="K656" s="239"/>
      <c r="L656" s="239"/>
      <c r="M656" s="239"/>
      <c r="N656" s="239"/>
      <c r="O656" s="239"/>
      <c r="P656" s="239"/>
      <c r="Q656" s="239"/>
      <c r="R656" s="239"/>
      <c r="S656" s="239"/>
      <c r="T656" s="239"/>
    </row>
    <row r="657" spans="1:20" s="82" customFormat="1" ht="25.5" x14ac:dyDescent="0.25">
      <c r="A657" s="24" t="s">
        <v>64</v>
      </c>
      <c r="B657" s="53">
        <v>913</v>
      </c>
      <c r="C657" s="48" t="s">
        <v>26</v>
      </c>
      <c r="D657" s="48" t="s">
        <v>48</v>
      </c>
      <c r="E657" s="48" t="s">
        <v>899</v>
      </c>
      <c r="F657" s="48" t="s">
        <v>65</v>
      </c>
      <c r="G657" s="119">
        <v>58591</v>
      </c>
      <c r="H657" s="119">
        <v>58591</v>
      </c>
      <c r="I657" s="119">
        <v>58591</v>
      </c>
      <c r="J657" s="239"/>
      <c r="K657" s="239"/>
      <c r="L657" s="239"/>
      <c r="M657" s="239"/>
      <c r="N657" s="239"/>
      <c r="O657" s="239"/>
      <c r="P657" s="239"/>
      <c r="Q657" s="239"/>
      <c r="R657" s="239"/>
      <c r="S657" s="239"/>
      <c r="T657" s="239"/>
    </row>
    <row r="658" spans="1:20" s="82" customFormat="1" ht="29.25" customHeight="1" x14ac:dyDescent="0.25">
      <c r="A658" s="24" t="s">
        <v>477</v>
      </c>
      <c r="B658" s="53">
        <v>913</v>
      </c>
      <c r="C658" s="48" t="s">
        <v>26</v>
      </c>
      <c r="D658" s="48" t="s">
        <v>48</v>
      </c>
      <c r="E658" s="48" t="s">
        <v>124</v>
      </c>
      <c r="F658" s="48"/>
      <c r="G658" s="119">
        <f>G659+G666</f>
        <v>350</v>
      </c>
      <c r="H658" s="119">
        <f>H659+H666</f>
        <v>350</v>
      </c>
      <c r="I658" s="119">
        <f>I659+I666</f>
        <v>350</v>
      </c>
      <c r="J658" s="239"/>
      <c r="K658" s="239"/>
      <c r="L658" s="239"/>
      <c r="M658" s="239"/>
      <c r="N658" s="239"/>
      <c r="O658" s="239"/>
      <c r="P658" s="239"/>
      <c r="Q658" s="239"/>
      <c r="R658" s="239"/>
      <c r="S658" s="239"/>
      <c r="T658" s="239"/>
    </row>
    <row r="659" spans="1:20" s="82" customFormat="1" x14ac:dyDescent="0.25">
      <c r="A659" s="24" t="s">
        <v>817</v>
      </c>
      <c r="B659" s="53">
        <v>913</v>
      </c>
      <c r="C659" s="48" t="s">
        <v>26</v>
      </c>
      <c r="D659" s="48" t="s">
        <v>48</v>
      </c>
      <c r="E659" s="48" t="s">
        <v>125</v>
      </c>
      <c r="F659" s="48"/>
      <c r="G659" s="119">
        <f>G660+G662+G664</f>
        <v>200</v>
      </c>
      <c r="H659" s="119">
        <f>H660+H662+H664</f>
        <v>200</v>
      </c>
      <c r="I659" s="119">
        <f>I660+I662+I664</f>
        <v>200</v>
      </c>
      <c r="J659" s="239"/>
      <c r="K659" s="239"/>
      <c r="L659" s="239"/>
      <c r="M659" s="239"/>
      <c r="N659" s="239"/>
      <c r="O659" s="239"/>
      <c r="P659" s="239"/>
      <c r="Q659" s="239"/>
      <c r="R659" s="239"/>
      <c r="S659" s="239"/>
      <c r="T659" s="239"/>
    </row>
    <row r="660" spans="1:20" s="82" customFormat="1" ht="38.25" x14ac:dyDescent="0.25">
      <c r="A660" s="24" t="s">
        <v>479</v>
      </c>
      <c r="B660" s="53">
        <v>913</v>
      </c>
      <c r="C660" s="48" t="s">
        <v>26</v>
      </c>
      <c r="D660" s="48" t="s">
        <v>48</v>
      </c>
      <c r="E660" s="48" t="s">
        <v>478</v>
      </c>
      <c r="F660" s="48"/>
      <c r="G660" s="119">
        <f>G661</f>
        <v>50</v>
      </c>
      <c r="H660" s="119">
        <f>H661</f>
        <v>50</v>
      </c>
      <c r="I660" s="119">
        <f>I661</f>
        <v>50</v>
      </c>
      <c r="J660" s="239"/>
      <c r="K660" s="239"/>
      <c r="L660" s="239"/>
      <c r="M660" s="239"/>
      <c r="N660" s="239"/>
      <c r="O660" s="239"/>
      <c r="P660" s="239"/>
      <c r="Q660" s="239"/>
      <c r="R660" s="239"/>
      <c r="S660" s="239"/>
      <c r="T660" s="239"/>
    </row>
    <row r="661" spans="1:20" s="82" customFormat="1" ht="30.75" customHeight="1" x14ac:dyDescent="0.25">
      <c r="A661" s="24" t="s">
        <v>226</v>
      </c>
      <c r="B661" s="53">
        <v>913</v>
      </c>
      <c r="C661" s="48" t="s">
        <v>26</v>
      </c>
      <c r="D661" s="48" t="s">
        <v>48</v>
      </c>
      <c r="E661" s="48" t="s">
        <v>478</v>
      </c>
      <c r="F661" s="48" t="s">
        <v>59</v>
      </c>
      <c r="G661" s="119">
        <v>50</v>
      </c>
      <c r="H661" s="119">
        <v>50</v>
      </c>
      <c r="I661" s="119">
        <v>50</v>
      </c>
      <c r="J661" s="239"/>
      <c r="K661" s="239"/>
      <c r="L661" s="239"/>
      <c r="M661" s="239"/>
      <c r="N661" s="239"/>
      <c r="O661" s="239"/>
      <c r="P661" s="239"/>
      <c r="Q661" s="239"/>
      <c r="R661" s="239"/>
      <c r="S661" s="239"/>
      <c r="T661" s="239"/>
    </row>
    <row r="662" spans="1:20" s="82" customFormat="1" ht="51" x14ac:dyDescent="0.25">
      <c r="A662" s="24" t="s">
        <v>481</v>
      </c>
      <c r="B662" s="53">
        <v>913</v>
      </c>
      <c r="C662" s="48" t="s">
        <v>26</v>
      </c>
      <c r="D662" s="48" t="s">
        <v>48</v>
      </c>
      <c r="E662" s="48" t="s">
        <v>480</v>
      </c>
      <c r="F662" s="48"/>
      <c r="G662" s="119">
        <f>G663</f>
        <v>50</v>
      </c>
      <c r="H662" s="119">
        <f>H663</f>
        <v>50</v>
      </c>
      <c r="I662" s="119">
        <f>I663</f>
        <v>50</v>
      </c>
      <c r="J662" s="239"/>
      <c r="K662" s="239"/>
      <c r="L662" s="239"/>
      <c r="M662" s="239"/>
      <c r="N662" s="239"/>
      <c r="O662" s="239"/>
      <c r="P662" s="239"/>
      <c r="Q662" s="239"/>
      <c r="R662" s="239"/>
      <c r="S662" s="239"/>
      <c r="T662" s="239"/>
    </row>
    <row r="663" spans="1:20" s="82" customFormat="1" ht="30.75" customHeight="1" x14ac:dyDescent="0.25">
      <c r="A663" s="24" t="s">
        <v>226</v>
      </c>
      <c r="B663" s="53">
        <v>913</v>
      </c>
      <c r="C663" s="48" t="s">
        <v>26</v>
      </c>
      <c r="D663" s="48" t="s">
        <v>48</v>
      </c>
      <c r="E663" s="48" t="s">
        <v>480</v>
      </c>
      <c r="F663" s="48" t="s">
        <v>59</v>
      </c>
      <c r="G663" s="119">
        <v>50</v>
      </c>
      <c r="H663" s="119">
        <v>50</v>
      </c>
      <c r="I663" s="119">
        <v>50</v>
      </c>
      <c r="J663" s="239"/>
      <c r="K663" s="239"/>
      <c r="L663" s="239"/>
      <c r="M663" s="239"/>
      <c r="N663" s="239"/>
      <c r="O663" s="239"/>
      <c r="P663" s="239"/>
      <c r="Q663" s="239"/>
      <c r="R663" s="239"/>
      <c r="S663" s="239"/>
      <c r="T663" s="239"/>
    </row>
    <row r="664" spans="1:20" s="82" customFormat="1" ht="51" x14ac:dyDescent="0.25">
      <c r="A664" s="24" t="s">
        <v>636</v>
      </c>
      <c r="B664" s="53">
        <v>913</v>
      </c>
      <c r="C664" s="48" t="s">
        <v>26</v>
      </c>
      <c r="D664" s="48" t="s">
        <v>48</v>
      </c>
      <c r="E664" s="48" t="s">
        <v>336</v>
      </c>
      <c r="F664" s="48"/>
      <c r="G664" s="119">
        <f>G665</f>
        <v>100</v>
      </c>
      <c r="H664" s="119">
        <f>H665</f>
        <v>100</v>
      </c>
      <c r="I664" s="119">
        <f>I665</f>
        <v>100</v>
      </c>
      <c r="J664" s="239"/>
      <c r="K664" s="239"/>
      <c r="L664" s="239"/>
      <c r="M664" s="239"/>
      <c r="N664" s="239"/>
      <c r="O664" s="239"/>
      <c r="P664" s="239"/>
      <c r="Q664" s="239"/>
      <c r="R664" s="239"/>
      <c r="S664" s="239"/>
      <c r="T664" s="239"/>
    </row>
    <row r="665" spans="1:20" s="82" customFormat="1" ht="30.75" customHeight="1" x14ac:dyDescent="0.25">
      <c r="A665" s="24" t="s">
        <v>226</v>
      </c>
      <c r="B665" s="53">
        <v>913</v>
      </c>
      <c r="C665" s="48" t="s">
        <v>26</v>
      </c>
      <c r="D665" s="48" t="s">
        <v>48</v>
      </c>
      <c r="E665" s="48" t="s">
        <v>336</v>
      </c>
      <c r="F665" s="48" t="s">
        <v>59</v>
      </c>
      <c r="G665" s="119">
        <v>100</v>
      </c>
      <c r="H665" s="119">
        <v>100</v>
      </c>
      <c r="I665" s="119">
        <v>100</v>
      </c>
      <c r="J665" s="239"/>
      <c r="K665" s="239"/>
      <c r="L665" s="239"/>
      <c r="M665" s="239"/>
      <c r="N665" s="239"/>
      <c r="O665" s="239"/>
      <c r="P665" s="239"/>
      <c r="Q665" s="239"/>
      <c r="R665" s="239"/>
      <c r="S665" s="239"/>
      <c r="T665" s="239"/>
    </row>
    <row r="666" spans="1:20" s="82" customFormat="1" x14ac:dyDescent="0.25">
      <c r="A666" s="24" t="s">
        <v>818</v>
      </c>
      <c r="B666" s="53">
        <v>913</v>
      </c>
      <c r="C666" s="48" t="s">
        <v>26</v>
      </c>
      <c r="D666" s="48" t="s">
        <v>48</v>
      </c>
      <c r="E666" s="48" t="s">
        <v>126</v>
      </c>
      <c r="F666" s="48"/>
      <c r="G666" s="119">
        <f t="shared" ref="G666:I667" si="232">G667</f>
        <v>150</v>
      </c>
      <c r="H666" s="119">
        <f t="shared" si="232"/>
        <v>150</v>
      </c>
      <c r="I666" s="119">
        <f t="shared" si="232"/>
        <v>150</v>
      </c>
      <c r="J666" s="239"/>
      <c r="K666" s="239"/>
      <c r="L666" s="239"/>
      <c r="M666" s="239"/>
      <c r="N666" s="239"/>
      <c r="O666" s="239"/>
      <c r="P666" s="239"/>
      <c r="Q666" s="239"/>
      <c r="R666" s="239"/>
      <c r="S666" s="239"/>
      <c r="T666" s="239"/>
    </row>
    <row r="667" spans="1:20" s="82" customFormat="1" ht="34.5" customHeight="1" x14ac:dyDescent="0.25">
      <c r="A667" s="24" t="s">
        <v>127</v>
      </c>
      <c r="B667" s="53">
        <v>913</v>
      </c>
      <c r="C667" s="48" t="s">
        <v>26</v>
      </c>
      <c r="D667" s="48" t="s">
        <v>48</v>
      </c>
      <c r="E667" s="48" t="s">
        <v>270</v>
      </c>
      <c r="F667" s="48"/>
      <c r="G667" s="119">
        <f t="shared" si="232"/>
        <v>150</v>
      </c>
      <c r="H667" s="119">
        <f t="shared" si="232"/>
        <v>150</v>
      </c>
      <c r="I667" s="119">
        <f t="shared" si="232"/>
        <v>150</v>
      </c>
      <c r="J667" s="239"/>
      <c r="K667" s="239"/>
      <c r="L667" s="239"/>
      <c r="M667" s="239"/>
      <c r="N667" s="239"/>
      <c r="O667" s="239"/>
      <c r="P667" s="239"/>
      <c r="Q667" s="239"/>
      <c r="R667" s="239"/>
      <c r="S667" s="239"/>
      <c r="T667" s="239"/>
    </row>
    <row r="668" spans="1:20" s="82" customFormat="1" ht="28.5" customHeight="1" x14ac:dyDescent="0.25">
      <c r="A668" s="24" t="s">
        <v>226</v>
      </c>
      <c r="B668" s="53">
        <v>913</v>
      </c>
      <c r="C668" s="48" t="s">
        <v>26</v>
      </c>
      <c r="D668" s="48" t="s">
        <v>48</v>
      </c>
      <c r="E668" s="48" t="s">
        <v>270</v>
      </c>
      <c r="F668" s="48" t="s">
        <v>59</v>
      </c>
      <c r="G668" s="119">
        <v>150</v>
      </c>
      <c r="H668" s="119">
        <v>150</v>
      </c>
      <c r="I668" s="119">
        <v>150</v>
      </c>
      <c r="J668" s="239"/>
      <c r="K668" s="239"/>
      <c r="L668" s="239"/>
      <c r="M668" s="239"/>
      <c r="N668" s="239"/>
      <c r="O668" s="239"/>
      <c r="P668" s="239"/>
      <c r="Q668" s="239"/>
      <c r="R668" s="239"/>
      <c r="S668" s="239"/>
      <c r="T668" s="239"/>
    </row>
    <row r="669" spans="1:20" s="82" customFormat="1" ht="38.25" x14ac:dyDescent="0.25">
      <c r="A669" s="24" t="s">
        <v>422</v>
      </c>
      <c r="B669" s="53">
        <v>913</v>
      </c>
      <c r="C669" s="48" t="s">
        <v>26</v>
      </c>
      <c r="D669" s="48" t="s">
        <v>48</v>
      </c>
      <c r="E669" s="48" t="s">
        <v>423</v>
      </c>
      <c r="F669" s="48"/>
      <c r="G669" s="119">
        <f>G670</f>
        <v>134.20000000000002</v>
      </c>
      <c r="H669" s="119">
        <f t="shared" ref="H669:I669" si="233">H670</f>
        <v>134.20000000000002</v>
      </c>
      <c r="I669" s="119">
        <f t="shared" si="233"/>
        <v>134.20000000000002</v>
      </c>
      <c r="J669" s="239"/>
      <c r="K669" s="239"/>
      <c r="L669" s="239"/>
      <c r="M669" s="239"/>
      <c r="N669" s="239"/>
      <c r="O669" s="239"/>
      <c r="P669" s="239"/>
      <c r="Q669" s="239"/>
      <c r="R669" s="239"/>
      <c r="S669" s="239"/>
      <c r="T669" s="239"/>
    </row>
    <row r="670" spans="1:20" s="82" customFormat="1" x14ac:dyDescent="0.25">
      <c r="A670" s="24" t="s">
        <v>771</v>
      </c>
      <c r="B670" s="53">
        <v>913</v>
      </c>
      <c r="C670" s="48" t="s">
        <v>26</v>
      </c>
      <c r="D670" s="48" t="s">
        <v>48</v>
      </c>
      <c r="E670" s="48" t="s">
        <v>424</v>
      </c>
      <c r="F670" s="48"/>
      <c r="G670" s="119">
        <f>G671+G680+G683</f>
        <v>134.20000000000002</v>
      </c>
      <c r="H670" s="119">
        <f>H671+H680+H683</f>
        <v>134.20000000000002</v>
      </c>
      <c r="I670" s="119">
        <f>I671+I680+I683</f>
        <v>134.20000000000002</v>
      </c>
      <c r="J670" s="239"/>
      <c r="K670" s="239"/>
      <c r="L670" s="239"/>
      <c r="M670" s="239"/>
      <c r="N670" s="239"/>
      <c r="O670" s="239"/>
      <c r="P670" s="239"/>
      <c r="Q670" s="239"/>
      <c r="R670" s="239"/>
      <c r="S670" s="239"/>
      <c r="T670" s="239"/>
    </row>
    <row r="671" spans="1:20" s="82" customFormat="1" ht="25.5" x14ac:dyDescent="0.25">
      <c r="A671" s="23" t="s">
        <v>819</v>
      </c>
      <c r="B671" s="53">
        <v>913</v>
      </c>
      <c r="C671" s="48" t="s">
        <v>26</v>
      </c>
      <c r="D671" s="48" t="s">
        <v>48</v>
      </c>
      <c r="E671" s="48" t="s">
        <v>425</v>
      </c>
      <c r="F671" s="48"/>
      <c r="G671" s="119">
        <f>G672+G674+G676+G678</f>
        <v>103.80000000000001</v>
      </c>
      <c r="H671" s="119">
        <f t="shared" ref="H671:I671" si="234">H672+H674+H676+H678</f>
        <v>103.80000000000001</v>
      </c>
      <c r="I671" s="119">
        <f t="shared" si="234"/>
        <v>103.80000000000001</v>
      </c>
      <c r="J671" s="239"/>
      <c r="K671" s="239"/>
      <c r="L671" s="239"/>
      <c r="M671" s="239"/>
      <c r="N671" s="239"/>
      <c r="O671" s="239"/>
      <c r="P671" s="239"/>
      <c r="Q671" s="239"/>
      <c r="R671" s="239"/>
      <c r="S671" s="239"/>
      <c r="T671" s="239"/>
    </row>
    <row r="672" spans="1:20" s="82" customFormat="1" ht="63.75" x14ac:dyDescent="0.25">
      <c r="A672" s="23" t="s">
        <v>631</v>
      </c>
      <c r="B672" s="53">
        <v>913</v>
      </c>
      <c r="C672" s="48" t="s">
        <v>26</v>
      </c>
      <c r="D672" s="48" t="s">
        <v>48</v>
      </c>
      <c r="E672" s="48" t="s">
        <v>426</v>
      </c>
      <c r="F672" s="48"/>
      <c r="G672" s="119">
        <f>G673</f>
        <v>41.8</v>
      </c>
      <c r="H672" s="119">
        <f>H673</f>
        <v>41.8</v>
      </c>
      <c r="I672" s="119">
        <f>I673</f>
        <v>41.8</v>
      </c>
      <c r="J672" s="239"/>
      <c r="K672" s="239"/>
      <c r="L672" s="239"/>
      <c r="M672" s="239"/>
      <c r="N672" s="239"/>
      <c r="O672" s="239"/>
      <c r="P672" s="239"/>
      <c r="Q672" s="239"/>
      <c r="R672" s="239"/>
      <c r="S672" s="239"/>
      <c r="T672" s="239"/>
    </row>
    <row r="673" spans="1:20" s="82" customFormat="1" ht="25.5" x14ac:dyDescent="0.25">
      <c r="A673" s="24" t="s">
        <v>226</v>
      </c>
      <c r="B673" s="53">
        <v>913</v>
      </c>
      <c r="C673" s="48" t="s">
        <v>26</v>
      </c>
      <c r="D673" s="48" t="s">
        <v>48</v>
      </c>
      <c r="E673" s="48" t="s">
        <v>426</v>
      </c>
      <c r="F673" s="48" t="s">
        <v>59</v>
      </c>
      <c r="G673" s="119">
        <v>41.8</v>
      </c>
      <c r="H673" s="119">
        <v>41.8</v>
      </c>
      <c r="I673" s="119">
        <v>41.8</v>
      </c>
      <c r="J673" s="239"/>
      <c r="K673" s="239"/>
      <c r="L673" s="239"/>
      <c r="M673" s="239"/>
      <c r="N673" s="239"/>
      <c r="O673" s="239"/>
      <c r="P673" s="239"/>
      <c r="Q673" s="239"/>
      <c r="R673" s="239"/>
      <c r="S673" s="239"/>
      <c r="T673" s="239"/>
    </row>
    <row r="674" spans="1:20" s="82" customFormat="1" ht="38.25" x14ac:dyDescent="0.25">
      <c r="A674" s="24" t="s">
        <v>313</v>
      </c>
      <c r="B674" s="53">
        <v>913</v>
      </c>
      <c r="C674" s="48" t="s">
        <v>26</v>
      </c>
      <c r="D674" s="48" t="s">
        <v>48</v>
      </c>
      <c r="E674" s="48" t="s">
        <v>427</v>
      </c>
      <c r="F674" s="48"/>
      <c r="G674" s="119">
        <f>G675</f>
        <v>13</v>
      </c>
      <c r="H674" s="119">
        <f>H675</f>
        <v>13</v>
      </c>
      <c r="I674" s="119">
        <f>I675</f>
        <v>13</v>
      </c>
      <c r="J674" s="239"/>
      <c r="K674" s="239"/>
      <c r="L674" s="239"/>
      <c r="M674" s="239"/>
      <c r="N674" s="239"/>
      <c r="O674" s="239"/>
      <c r="P674" s="239"/>
      <c r="Q674" s="239"/>
      <c r="R674" s="239"/>
      <c r="S674" s="239"/>
      <c r="T674" s="239"/>
    </row>
    <row r="675" spans="1:20" s="82" customFormat="1" ht="25.5" x14ac:dyDescent="0.25">
      <c r="A675" s="24" t="s">
        <v>226</v>
      </c>
      <c r="B675" s="53">
        <v>913</v>
      </c>
      <c r="C675" s="48" t="s">
        <v>26</v>
      </c>
      <c r="D675" s="48" t="s">
        <v>48</v>
      </c>
      <c r="E675" s="48" t="s">
        <v>427</v>
      </c>
      <c r="F675" s="48" t="s">
        <v>59</v>
      </c>
      <c r="G675" s="119">
        <v>13</v>
      </c>
      <c r="H675" s="119">
        <v>13</v>
      </c>
      <c r="I675" s="119">
        <v>13</v>
      </c>
      <c r="J675" s="239"/>
      <c r="K675" s="239"/>
      <c r="L675" s="239"/>
      <c r="M675" s="239"/>
      <c r="N675" s="239"/>
      <c r="O675" s="239"/>
      <c r="P675" s="239"/>
      <c r="Q675" s="239"/>
      <c r="R675" s="239"/>
      <c r="S675" s="239"/>
      <c r="T675" s="239"/>
    </row>
    <row r="676" spans="1:20" s="82" customFormat="1" x14ac:dyDescent="0.25">
      <c r="A676" s="24" t="s">
        <v>651</v>
      </c>
      <c r="B676" s="53">
        <v>913</v>
      </c>
      <c r="C676" s="48" t="s">
        <v>26</v>
      </c>
      <c r="D676" s="48" t="s">
        <v>48</v>
      </c>
      <c r="E676" s="48" t="s">
        <v>650</v>
      </c>
      <c r="F676" s="48"/>
      <c r="G676" s="119">
        <f>G677</f>
        <v>25.1</v>
      </c>
      <c r="H676" s="119">
        <f t="shared" ref="H676:I676" si="235">H677</f>
        <v>25.1</v>
      </c>
      <c r="I676" s="119">
        <f t="shared" si="235"/>
        <v>25.1</v>
      </c>
      <c r="J676" s="239"/>
      <c r="K676" s="239"/>
      <c r="L676" s="239"/>
      <c r="M676" s="239"/>
      <c r="N676" s="239"/>
      <c r="O676" s="239"/>
      <c r="P676" s="239"/>
      <c r="Q676" s="239"/>
      <c r="R676" s="239"/>
      <c r="S676" s="239"/>
      <c r="T676" s="239"/>
    </row>
    <row r="677" spans="1:20" s="82" customFormat="1" ht="25.5" x14ac:dyDescent="0.25">
      <c r="A677" s="24" t="s">
        <v>226</v>
      </c>
      <c r="B677" s="53">
        <v>913</v>
      </c>
      <c r="C677" s="48" t="s">
        <v>26</v>
      </c>
      <c r="D677" s="48" t="s">
        <v>48</v>
      </c>
      <c r="E677" s="48" t="s">
        <v>650</v>
      </c>
      <c r="F677" s="48" t="s">
        <v>59</v>
      </c>
      <c r="G677" s="119">
        <v>25.1</v>
      </c>
      <c r="H677" s="119">
        <v>25.1</v>
      </c>
      <c r="I677" s="119">
        <v>25.1</v>
      </c>
      <c r="J677" s="239"/>
      <c r="K677" s="239"/>
      <c r="L677" s="239"/>
      <c r="M677" s="239"/>
      <c r="N677" s="239"/>
      <c r="O677" s="239"/>
      <c r="P677" s="239"/>
      <c r="Q677" s="239"/>
      <c r="R677" s="239"/>
      <c r="S677" s="239"/>
      <c r="T677" s="239"/>
    </row>
    <row r="678" spans="1:20" s="82" customFormat="1" ht="25.5" x14ac:dyDescent="0.25">
      <c r="A678" s="24" t="s">
        <v>653</v>
      </c>
      <c r="B678" s="53">
        <v>913</v>
      </c>
      <c r="C678" s="48" t="s">
        <v>26</v>
      </c>
      <c r="D678" s="48" t="s">
        <v>48</v>
      </c>
      <c r="E678" s="48" t="s">
        <v>652</v>
      </c>
      <c r="F678" s="48"/>
      <c r="G678" s="119">
        <f>G679</f>
        <v>23.9</v>
      </c>
      <c r="H678" s="119">
        <f t="shared" ref="H678:I678" si="236">H679</f>
        <v>23.9</v>
      </c>
      <c r="I678" s="119">
        <f t="shared" si="236"/>
        <v>23.9</v>
      </c>
      <c r="J678" s="239"/>
      <c r="K678" s="239"/>
      <c r="L678" s="239"/>
      <c r="M678" s="239"/>
      <c r="N678" s="239"/>
      <c r="O678" s="239"/>
      <c r="P678" s="239"/>
      <c r="Q678" s="239"/>
      <c r="R678" s="239"/>
      <c r="S678" s="239"/>
      <c r="T678" s="239"/>
    </row>
    <row r="679" spans="1:20" s="82" customFormat="1" ht="25.5" x14ac:dyDescent="0.25">
      <c r="A679" s="24" t="s">
        <v>226</v>
      </c>
      <c r="B679" s="53">
        <v>913</v>
      </c>
      <c r="C679" s="48" t="s">
        <v>26</v>
      </c>
      <c r="D679" s="48" t="s">
        <v>48</v>
      </c>
      <c r="E679" s="48" t="s">
        <v>652</v>
      </c>
      <c r="F679" s="48" t="s">
        <v>59</v>
      </c>
      <c r="G679" s="119">
        <v>23.9</v>
      </c>
      <c r="H679" s="119">
        <v>23.9</v>
      </c>
      <c r="I679" s="119">
        <v>23.9</v>
      </c>
      <c r="J679" s="239"/>
      <c r="K679" s="239"/>
      <c r="L679" s="239"/>
      <c r="M679" s="239"/>
      <c r="N679" s="239"/>
      <c r="O679" s="239"/>
      <c r="P679" s="239"/>
      <c r="Q679" s="239"/>
      <c r="R679" s="239"/>
      <c r="S679" s="239"/>
      <c r="T679" s="239"/>
    </row>
    <row r="680" spans="1:20" s="82" customFormat="1" ht="25.5" x14ac:dyDescent="0.25">
      <c r="A680" s="24" t="s">
        <v>820</v>
      </c>
      <c r="B680" s="53">
        <v>913</v>
      </c>
      <c r="C680" s="48" t="s">
        <v>26</v>
      </c>
      <c r="D680" s="48" t="s">
        <v>48</v>
      </c>
      <c r="E680" s="48" t="s">
        <v>428</v>
      </c>
      <c r="F680" s="48"/>
      <c r="G680" s="119">
        <f t="shared" ref="G680:I681" si="237">G681</f>
        <v>23.9</v>
      </c>
      <c r="H680" s="119">
        <f t="shared" si="237"/>
        <v>23.9</v>
      </c>
      <c r="I680" s="119">
        <f t="shared" si="237"/>
        <v>23.9</v>
      </c>
      <c r="J680" s="239"/>
      <c r="K680" s="239"/>
      <c r="L680" s="239"/>
      <c r="M680" s="239"/>
      <c r="N680" s="239"/>
      <c r="O680" s="239"/>
      <c r="P680" s="239"/>
      <c r="Q680" s="239"/>
      <c r="R680" s="239"/>
      <c r="S680" s="239"/>
      <c r="T680" s="239"/>
    </row>
    <row r="681" spans="1:20" s="82" customFormat="1" ht="38.25" x14ac:dyDescent="0.25">
      <c r="A681" s="24" t="s">
        <v>97</v>
      </c>
      <c r="B681" s="53">
        <v>913</v>
      </c>
      <c r="C681" s="48" t="s">
        <v>26</v>
      </c>
      <c r="D681" s="48" t="s">
        <v>48</v>
      </c>
      <c r="E681" s="48" t="s">
        <v>429</v>
      </c>
      <c r="F681" s="48"/>
      <c r="G681" s="119">
        <f t="shared" si="237"/>
        <v>23.9</v>
      </c>
      <c r="H681" s="119">
        <f t="shared" si="237"/>
        <v>23.9</v>
      </c>
      <c r="I681" s="119">
        <f t="shared" si="237"/>
        <v>23.9</v>
      </c>
      <c r="J681" s="239"/>
      <c r="K681" s="239"/>
      <c r="L681" s="239"/>
      <c r="M681" s="239"/>
      <c r="N681" s="239"/>
      <c r="O681" s="239"/>
      <c r="P681" s="239"/>
      <c r="Q681" s="239"/>
      <c r="R681" s="239"/>
      <c r="S681" s="239"/>
      <c r="T681" s="239"/>
    </row>
    <row r="682" spans="1:20" s="82" customFormat="1" ht="25.5" x14ac:dyDescent="0.25">
      <c r="A682" s="24" t="s">
        <v>226</v>
      </c>
      <c r="B682" s="53">
        <v>913</v>
      </c>
      <c r="C682" s="48" t="s">
        <v>26</v>
      </c>
      <c r="D682" s="48" t="s">
        <v>48</v>
      </c>
      <c r="E682" s="48" t="s">
        <v>429</v>
      </c>
      <c r="F682" s="48" t="s">
        <v>59</v>
      </c>
      <c r="G682" s="119">
        <v>23.9</v>
      </c>
      <c r="H682" s="119">
        <v>23.9</v>
      </c>
      <c r="I682" s="119">
        <v>23.9</v>
      </c>
      <c r="J682" s="239"/>
      <c r="K682" s="239"/>
      <c r="L682" s="239"/>
      <c r="M682" s="239"/>
      <c r="N682" s="239"/>
      <c r="O682" s="239"/>
      <c r="P682" s="239"/>
      <c r="Q682" s="239"/>
      <c r="R682" s="239"/>
      <c r="S682" s="239"/>
      <c r="T682" s="239"/>
    </row>
    <row r="683" spans="1:20" s="82" customFormat="1" ht="25.5" customHeight="1" x14ac:dyDescent="0.25">
      <c r="A683" s="24" t="s">
        <v>821</v>
      </c>
      <c r="B683" s="53">
        <v>913</v>
      </c>
      <c r="C683" s="48" t="s">
        <v>26</v>
      </c>
      <c r="D683" s="48" t="s">
        <v>48</v>
      </c>
      <c r="E683" s="48" t="s">
        <v>430</v>
      </c>
      <c r="F683" s="48"/>
      <c r="G683" s="119">
        <f t="shared" ref="G683:I684" si="238">G684</f>
        <v>6.5</v>
      </c>
      <c r="H683" s="119">
        <f t="shared" si="238"/>
        <v>6.5</v>
      </c>
      <c r="I683" s="119">
        <f t="shared" si="238"/>
        <v>6.5</v>
      </c>
      <c r="J683" s="239"/>
      <c r="K683" s="239"/>
      <c r="L683" s="239"/>
      <c r="M683" s="239"/>
      <c r="N683" s="239"/>
      <c r="O683" s="239"/>
      <c r="P683" s="239"/>
      <c r="Q683" s="239"/>
      <c r="R683" s="239"/>
      <c r="S683" s="239"/>
      <c r="T683" s="239"/>
    </row>
    <row r="684" spans="1:20" s="82" customFormat="1" x14ac:dyDescent="0.25">
      <c r="A684" s="24" t="s">
        <v>324</v>
      </c>
      <c r="B684" s="53">
        <v>913</v>
      </c>
      <c r="C684" s="48" t="s">
        <v>26</v>
      </c>
      <c r="D684" s="48" t="s">
        <v>48</v>
      </c>
      <c r="E684" s="48" t="s">
        <v>431</v>
      </c>
      <c r="F684" s="48"/>
      <c r="G684" s="119">
        <f t="shared" si="238"/>
        <v>6.5</v>
      </c>
      <c r="H684" s="119">
        <f t="shared" si="238"/>
        <v>6.5</v>
      </c>
      <c r="I684" s="119">
        <f t="shared" si="238"/>
        <v>6.5</v>
      </c>
      <c r="J684" s="239"/>
      <c r="K684" s="239"/>
      <c r="L684" s="239"/>
      <c r="M684" s="239"/>
      <c r="N684" s="239"/>
      <c r="O684" s="239"/>
      <c r="P684" s="239"/>
      <c r="Q684" s="239"/>
      <c r="R684" s="239"/>
      <c r="S684" s="239"/>
      <c r="T684" s="239"/>
    </row>
    <row r="685" spans="1:20" s="82" customFormat="1" ht="25.5" x14ac:dyDescent="0.25">
      <c r="A685" s="24" t="s">
        <v>226</v>
      </c>
      <c r="B685" s="53">
        <v>913</v>
      </c>
      <c r="C685" s="48" t="s">
        <v>26</v>
      </c>
      <c r="D685" s="48" t="s">
        <v>48</v>
      </c>
      <c r="E685" s="48" t="s">
        <v>431</v>
      </c>
      <c r="F685" s="48" t="s">
        <v>59</v>
      </c>
      <c r="G685" s="119">
        <v>6.5</v>
      </c>
      <c r="H685" s="119">
        <v>6.5</v>
      </c>
      <c r="I685" s="119">
        <v>6.5</v>
      </c>
      <c r="J685" s="239"/>
      <c r="K685" s="239"/>
      <c r="L685" s="239"/>
      <c r="M685" s="239"/>
      <c r="N685" s="239"/>
      <c r="O685" s="239"/>
      <c r="P685" s="239"/>
      <c r="Q685" s="239"/>
      <c r="R685" s="239"/>
      <c r="S685" s="239"/>
      <c r="T685" s="239"/>
    </row>
    <row r="686" spans="1:20" s="82" customFormat="1" ht="29.25" customHeight="1" x14ac:dyDescent="0.25">
      <c r="A686" s="24" t="s">
        <v>82</v>
      </c>
      <c r="B686" s="53">
        <v>913</v>
      </c>
      <c r="C686" s="48" t="s">
        <v>26</v>
      </c>
      <c r="D686" s="48" t="s">
        <v>48</v>
      </c>
      <c r="E686" s="48" t="s">
        <v>131</v>
      </c>
      <c r="F686" s="75"/>
      <c r="G686" s="119">
        <f t="shared" ref="G686:I687" si="239">G687</f>
        <v>345</v>
      </c>
      <c r="H686" s="119">
        <f t="shared" si="239"/>
        <v>345</v>
      </c>
      <c r="I686" s="119">
        <f t="shared" si="239"/>
        <v>345</v>
      </c>
      <c r="J686" s="239"/>
      <c r="K686" s="239"/>
      <c r="L686" s="239"/>
      <c r="M686" s="239"/>
      <c r="N686" s="239"/>
      <c r="O686" s="239"/>
      <c r="P686" s="239"/>
      <c r="Q686" s="239"/>
      <c r="R686" s="239"/>
      <c r="S686" s="239"/>
      <c r="T686" s="239"/>
    </row>
    <row r="687" spans="1:20" s="82" customFormat="1" ht="18.75" customHeight="1" x14ac:dyDescent="0.25">
      <c r="A687" s="24" t="s">
        <v>132</v>
      </c>
      <c r="B687" s="53">
        <v>913</v>
      </c>
      <c r="C687" s="48" t="s">
        <v>26</v>
      </c>
      <c r="D687" s="48" t="s">
        <v>48</v>
      </c>
      <c r="E687" s="48" t="s">
        <v>269</v>
      </c>
      <c r="F687" s="75"/>
      <c r="G687" s="119">
        <f t="shared" si="239"/>
        <v>345</v>
      </c>
      <c r="H687" s="119">
        <f t="shared" si="239"/>
        <v>345</v>
      </c>
      <c r="I687" s="119">
        <f t="shared" si="239"/>
        <v>345</v>
      </c>
      <c r="J687" s="239"/>
      <c r="K687" s="239"/>
      <c r="L687" s="239"/>
      <c r="M687" s="239"/>
      <c r="N687" s="239"/>
      <c r="O687" s="239"/>
      <c r="P687" s="239"/>
      <c r="Q687" s="239"/>
      <c r="R687" s="239"/>
      <c r="S687" s="239"/>
      <c r="T687" s="239"/>
    </row>
    <row r="688" spans="1:20" s="82" customFormat="1" x14ac:dyDescent="0.25">
      <c r="A688" s="28" t="s">
        <v>85</v>
      </c>
      <c r="B688" s="53">
        <v>913</v>
      </c>
      <c r="C688" s="48" t="s">
        <v>26</v>
      </c>
      <c r="D688" s="48" t="s">
        <v>48</v>
      </c>
      <c r="E688" s="48" t="s">
        <v>269</v>
      </c>
      <c r="F688" s="75" t="s">
        <v>86</v>
      </c>
      <c r="G688" s="119">
        <v>345</v>
      </c>
      <c r="H688" s="119">
        <v>345</v>
      </c>
      <c r="I688" s="119">
        <v>345</v>
      </c>
      <c r="J688" s="239"/>
      <c r="K688" s="239"/>
      <c r="L688" s="239"/>
      <c r="M688" s="239"/>
      <c r="N688" s="239"/>
      <c r="O688" s="239"/>
      <c r="P688" s="239"/>
      <c r="Q688" s="239"/>
      <c r="R688" s="239"/>
      <c r="S688" s="239"/>
      <c r="T688" s="239"/>
    </row>
    <row r="689" spans="1:20" s="82" customFormat="1" ht="25.5" x14ac:dyDescent="0.25">
      <c r="A689" s="23" t="s">
        <v>99</v>
      </c>
      <c r="B689" s="53">
        <v>913</v>
      </c>
      <c r="C689" s="48" t="s">
        <v>26</v>
      </c>
      <c r="D689" s="48" t="s">
        <v>48</v>
      </c>
      <c r="E689" s="48" t="s">
        <v>101</v>
      </c>
      <c r="F689" s="48"/>
      <c r="G689" s="119">
        <f>G690</f>
        <v>45</v>
      </c>
      <c r="H689" s="119">
        <f t="shared" ref="H689:I689" si="240">H690</f>
        <v>45</v>
      </c>
      <c r="I689" s="119">
        <f t="shared" si="240"/>
        <v>45</v>
      </c>
      <c r="J689" s="239"/>
      <c r="K689" s="239"/>
      <c r="L689" s="239"/>
      <c r="M689" s="239"/>
      <c r="N689" s="239"/>
      <c r="O689" s="239"/>
      <c r="P689" s="239"/>
      <c r="Q689" s="239"/>
      <c r="R689" s="239"/>
      <c r="S689" s="239"/>
      <c r="T689" s="239"/>
    </row>
    <row r="690" spans="1:20" s="82" customFormat="1" ht="25.5" x14ac:dyDescent="0.25">
      <c r="A690" s="23" t="s">
        <v>100</v>
      </c>
      <c r="B690" s="53">
        <v>913</v>
      </c>
      <c r="C690" s="48" t="s">
        <v>26</v>
      </c>
      <c r="D690" s="48" t="s">
        <v>48</v>
      </c>
      <c r="E690" s="48" t="s">
        <v>859</v>
      </c>
      <c r="F690" s="48"/>
      <c r="G690" s="119">
        <f>G691</f>
        <v>45</v>
      </c>
      <c r="H690" s="119">
        <f>H691</f>
        <v>45</v>
      </c>
      <c r="I690" s="119">
        <f>I691</f>
        <v>45</v>
      </c>
      <c r="J690" s="159"/>
      <c r="K690" s="162"/>
      <c r="L690" s="162"/>
      <c r="M690" s="239"/>
      <c r="N690" s="239"/>
      <c r="O690" s="239"/>
      <c r="P690" s="239"/>
      <c r="Q690" s="239"/>
      <c r="R690" s="239"/>
      <c r="S690" s="239"/>
      <c r="T690" s="239"/>
    </row>
    <row r="691" spans="1:20" s="82" customFormat="1" ht="25.5" x14ac:dyDescent="0.25">
      <c r="A691" s="24" t="s">
        <v>226</v>
      </c>
      <c r="B691" s="53">
        <v>913</v>
      </c>
      <c r="C691" s="48" t="s">
        <v>26</v>
      </c>
      <c r="D691" s="48" t="s">
        <v>48</v>
      </c>
      <c r="E691" s="48" t="s">
        <v>859</v>
      </c>
      <c r="F691" s="48" t="s">
        <v>59</v>
      </c>
      <c r="G691" s="119">
        <v>45</v>
      </c>
      <c r="H691" s="119">
        <v>45</v>
      </c>
      <c r="I691" s="119">
        <v>45</v>
      </c>
      <c r="J691" s="184"/>
      <c r="K691" s="184"/>
      <c r="L691" s="184"/>
      <c r="M691" s="239"/>
      <c r="N691" s="239"/>
      <c r="O691" s="239"/>
      <c r="P691" s="239"/>
      <c r="Q691" s="239"/>
      <c r="R691" s="239"/>
      <c r="S691" s="239"/>
      <c r="T691" s="239"/>
    </row>
    <row r="692" spans="1:20" s="82" customFormat="1" ht="21.75" customHeight="1" x14ac:dyDescent="0.25">
      <c r="A692" s="24" t="s">
        <v>321</v>
      </c>
      <c r="B692" s="53">
        <v>913</v>
      </c>
      <c r="C692" s="48" t="s">
        <v>26</v>
      </c>
      <c r="D692" s="48" t="s">
        <v>48</v>
      </c>
      <c r="E692" s="48" t="s">
        <v>322</v>
      </c>
      <c r="F692" s="48"/>
      <c r="G692" s="119">
        <f>G693</f>
        <v>63379.199999999997</v>
      </c>
      <c r="H692" s="119">
        <f>H693</f>
        <v>76365.599999999991</v>
      </c>
      <c r="I692" s="119">
        <f>I693</f>
        <v>51571.6</v>
      </c>
      <c r="J692" s="239"/>
      <c r="K692" s="239"/>
      <c r="L692" s="239"/>
      <c r="M692" s="239"/>
      <c r="N692" s="239"/>
      <c r="O692" s="239"/>
      <c r="P692" s="239"/>
      <c r="Q692" s="239"/>
      <c r="R692" s="239"/>
      <c r="S692" s="239"/>
      <c r="T692" s="239"/>
    </row>
    <row r="693" spans="1:20" s="82" customFormat="1" x14ac:dyDescent="0.25">
      <c r="A693" s="25" t="s">
        <v>240</v>
      </c>
      <c r="B693" s="53">
        <v>913</v>
      </c>
      <c r="C693" s="48" t="s">
        <v>26</v>
      </c>
      <c r="D693" s="48" t="s">
        <v>48</v>
      </c>
      <c r="E693" s="48" t="s">
        <v>352</v>
      </c>
      <c r="F693" s="48"/>
      <c r="G693" s="119">
        <f>G694+G695+G696</f>
        <v>63379.199999999997</v>
      </c>
      <c r="H693" s="119">
        <f>H694+H695+H696</f>
        <v>76365.599999999991</v>
      </c>
      <c r="I693" s="119">
        <f>I694+I695+I696</f>
        <v>51571.6</v>
      </c>
      <c r="J693" s="239"/>
      <c r="K693" s="239"/>
      <c r="L693" s="239"/>
      <c r="M693" s="239"/>
      <c r="N693" s="239"/>
      <c r="O693" s="239"/>
      <c r="P693" s="239"/>
      <c r="Q693" s="239"/>
      <c r="R693" s="239"/>
      <c r="S693" s="239"/>
      <c r="T693" s="239"/>
    </row>
    <row r="694" spans="1:20" s="82" customFormat="1" ht="38.25" x14ac:dyDescent="0.25">
      <c r="A694" s="24" t="s">
        <v>225</v>
      </c>
      <c r="B694" s="53">
        <v>913</v>
      </c>
      <c r="C694" s="48" t="s">
        <v>26</v>
      </c>
      <c r="D694" s="48" t="s">
        <v>48</v>
      </c>
      <c r="E694" s="48" t="s">
        <v>352</v>
      </c>
      <c r="F694" s="48" t="s">
        <v>66</v>
      </c>
      <c r="G694" s="119">
        <v>24980.7</v>
      </c>
      <c r="H694" s="119">
        <v>25738.7</v>
      </c>
      <c r="I694" s="119">
        <v>26526.5</v>
      </c>
      <c r="J694" s="239"/>
      <c r="K694" s="239"/>
      <c r="L694" s="239"/>
      <c r="M694" s="239"/>
      <c r="N694" s="239"/>
      <c r="O694" s="239"/>
      <c r="P694" s="239"/>
      <c r="Q694" s="239"/>
      <c r="R694" s="239"/>
      <c r="S694" s="239"/>
      <c r="T694" s="239"/>
    </row>
    <row r="695" spans="1:20" s="82" customFormat="1" ht="25.5" x14ac:dyDescent="0.25">
      <c r="A695" s="24" t="s">
        <v>226</v>
      </c>
      <c r="B695" s="53">
        <v>913</v>
      </c>
      <c r="C695" s="48" t="s">
        <v>26</v>
      </c>
      <c r="D695" s="48" t="s">
        <v>48</v>
      </c>
      <c r="E695" s="48" t="s">
        <v>352</v>
      </c>
      <c r="F695" s="48" t="s">
        <v>59</v>
      </c>
      <c r="G695" s="119">
        <f>33824.2+4338.6</f>
        <v>38162.799999999996</v>
      </c>
      <c r="H695" s="119">
        <f>24809.4+25581.8</f>
        <v>50391.199999999997</v>
      </c>
      <c r="I695" s="119">
        <v>24809.4</v>
      </c>
      <c r="J695" s="239"/>
      <c r="K695" s="239"/>
      <c r="L695" s="239"/>
      <c r="M695" s="239"/>
      <c r="N695" s="239"/>
      <c r="O695" s="239"/>
      <c r="P695" s="239"/>
      <c r="Q695" s="239"/>
      <c r="R695" s="239"/>
      <c r="S695" s="239"/>
      <c r="T695" s="239"/>
    </row>
    <row r="696" spans="1:20" s="82" customFormat="1" x14ac:dyDescent="0.25">
      <c r="A696" s="24" t="s">
        <v>95</v>
      </c>
      <c r="B696" s="53">
        <v>913</v>
      </c>
      <c r="C696" s="48" t="s">
        <v>26</v>
      </c>
      <c r="D696" s="48" t="s">
        <v>48</v>
      </c>
      <c r="E696" s="48" t="s">
        <v>352</v>
      </c>
      <c r="F696" s="48" t="s">
        <v>62</v>
      </c>
      <c r="G696" s="119">
        <v>235.7</v>
      </c>
      <c r="H696" s="119">
        <v>235.7</v>
      </c>
      <c r="I696" s="119">
        <v>235.7</v>
      </c>
      <c r="J696" s="239"/>
      <c r="K696" s="239"/>
      <c r="L696" s="239"/>
      <c r="M696" s="239"/>
      <c r="N696" s="239"/>
      <c r="O696" s="239"/>
      <c r="P696" s="239"/>
      <c r="Q696" s="239"/>
      <c r="R696" s="239"/>
      <c r="S696" s="239"/>
      <c r="T696" s="239"/>
    </row>
    <row r="697" spans="1:20" s="82" customFormat="1" x14ac:dyDescent="0.25">
      <c r="A697" s="23" t="s">
        <v>94</v>
      </c>
      <c r="B697" s="53">
        <v>913</v>
      </c>
      <c r="C697" s="48" t="s">
        <v>26</v>
      </c>
      <c r="D697" s="48" t="s">
        <v>48</v>
      </c>
      <c r="E697" s="48" t="s">
        <v>120</v>
      </c>
      <c r="F697" s="48"/>
      <c r="G697" s="119">
        <f>G700+G703+G698</f>
        <v>17946.8</v>
      </c>
      <c r="H697" s="119">
        <f t="shared" ref="H697:I697" si="241">H700+H703+H698</f>
        <v>5384</v>
      </c>
      <c r="I697" s="119">
        <f t="shared" si="241"/>
        <v>5384</v>
      </c>
      <c r="J697" s="239"/>
      <c r="K697" s="239"/>
      <c r="L697" s="239"/>
      <c r="M697" s="239"/>
      <c r="N697" s="239"/>
      <c r="O697" s="239"/>
      <c r="P697" s="239"/>
      <c r="Q697" s="239"/>
      <c r="R697" s="239"/>
      <c r="S697" s="239"/>
      <c r="T697" s="239"/>
    </row>
    <row r="698" spans="1:20" s="82" customFormat="1" x14ac:dyDescent="0.25">
      <c r="A698" s="28" t="s">
        <v>615</v>
      </c>
      <c r="B698" s="53">
        <v>913</v>
      </c>
      <c r="C698" s="48" t="s">
        <v>26</v>
      </c>
      <c r="D698" s="48" t="s">
        <v>48</v>
      </c>
      <c r="E698" s="48" t="s">
        <v>230</v>
      </c>
      <c r="F698" s="48"/>
      <c r="G698" s="119">
        <f>G699</f>
        <v>501.3</v>
      </c>
      <c r="H698" s="119">
        <f t="shared" ref="H698:I698" si="242">H699</f>
        <v>0</v>
      </c>
      <c r="I698" s="119">
        <f t="shared" si="242"/>
        <v>0</v>
      </c>
      <c r="J698" s="239"/>
      <c r="K698" s="239"/>
      <c r="L698" s="239"/>
      <c r="M698" s="239"/>
      <c r="N698" s="239"/>
      <c r="O698" s="239"/>
      <c r="P698" s="239"/>
      <c r="Q698" s="239"/>
      <c r="R698" s="239"/>
      <c r="S698" s="239"/>
      <c r="T698" s="239"/>
    </row>
    <row r="699" spans="1:20" s="82" customFormat="1" ht="38.25" x14ac:dyDescent="0.25">
      <c r="A699" s="24" t="s">
        <v>225</v>
      </c>
      <c r="B699" s="53">
        <v>913</v>
      </c>
      <c r="C699" s="48" t="s">
        <v>26</v>
      </c>
      <c r="D699" s="48" t="s">
        <v>48</v>
      </c>
      <c r="E699" s="48" t="s">
        <v>230</v>
      </c>
      <c r="F699" s="48" t="s">
        <v>66</v>
      </c>
      <c r="G699" s="119">
        <v>501.3</v>
      </c>
      <c r="H699" s="119">
        <v>0</v>
      </c>
      <c r="I699" s="119">
        <v>0</v>
      </c>
      <c r="J699" s="239"/>
      <c r="K699" s="239"/>
      <c r="L699" s="239"/>
      <c r="M699" s="239"/>
      <c r="N699" s="239"/>
      <c r="O699" s="239"/>
      <c r="P699" s="239"/>
      <c r="Q699" s="239"/>
      <c r="R699" s="239"/>
      <c r="S699" s="239"/>
      <c r="T699" s="239"/>
    </row>
    <row r="700" spans="1:20" s="82" customFormat="1" x14ac:dyDescent="0.25">
      <c r="A700" s="23" t="s">
        <v>133</v>
      </c>
      <c r="B700" s="53">
        <v>913</v>
      </c>
      <c r="C700" s="48" t="s">
        <v>26</v>
      </c>
      <c r="D700" s="48" t="s">
        <v>48</v>
      </c>
      <c r="E700" s="48" t="s">
        <v>231</v>
      </c>
      <c r="F700" s="48"/>
      <c r="G700" s="119">
        <f>G701+G702</f>
        <v>16778.8</v>
      </c>
      <c r="H700" s="119">
        <f>H701+H702</f>
        <v>5384</v>
      </c>
      <c r="I700" s="119">
        <f>I701+I702</f>
        <v>5384</v>
      </c>
      <c r="J700" s="239"/>
      <c r="K700" s="239"/>
      <c r="L700" s="239"/>
      <c r="M700" s="239"/>
      <c r="N700" s="239"/>
      <c r="O700" s="239"/>
      <c r="P700" s="239"/>
      <c r="Q700" s="239"/>
      <c r="R700" s="239"/>
      <c r="S700" s="239"/>
      <c r="T700" s="239"/>
    </row>
    <row r="701" spans="1:20" s="82" customFormat="1" ht="29.25" customHeight="1" x14ac:dyDescent="0.25">
      <c r="A701" s="24" t="s">
        <v>226</v>
      </c>
      <c r="B701" s="53">
        <v>913</v>
      </c>
      <c r="C701" s="48" t="s">
        <v>26</v>
      </c>
      <c r="D701" s="48" t="s">
        <v>48</v>
      </c>
      <c r="E701" s="48" t="s">
        <v>231</v>
      </c>
      <c r="F701" s="48" t="s">
        <v>59</v>
      </c>
      <c r="G701" s="119">
        <f>10404+5894.8</f>
        <v>16298.8</v>
      </c>
      <c r="H701" s="119">
        <v>4904</v>
      </c>
      <c r="I701" s="119">
        <v>4904</v>
      </c>
      <c r="J701" s="162"/>
      <c r="K701" s="153"/>
      <c r="L701" s="239"/>
      <c r="M701" s="239"/>
      <c r="N701" s="239"/>
      <c r="O701" s="239"/>
      <c r="P701" s="239"/>
      <c r="Q701" s="239"/>
      <c r="R701" s="239"/>
      <c r="S701" s="239"/>
      <c r="T701" s="239"/>
    </row>
    <row r="702" spans="1:20" s="82" customFormat="1" x14ac:dyDescent="0.25">
      <c r="A702" s="24" t="s">
        <v>95</v>
      </c>
      <c r="B702" s="53">
        <v>913</v>
      </c>
      <c r="C702" s="48" t="s">
        <v>26</v>
      </c>
      <c r="D702" s="48" t="s">
        <v>48</v>
      </c>
      <c r="E702" s="48" t="s">
        <v>231</v>
      </c>
      <c r="F702" s="48" t="s">
        <v>62</v>
      </c>
      <c r="G702" s="119">
        <v>480</v>
      </c>
      <c r="H702" s="119">
        <v>480</v>
      </c>
      <c r="I702" s="119">
        <v>480</v>
      </c>
      <c r="J702" s="162"/>
      <c r="K702" s="239"/>
      <c r="L702" s="239"/>
      <c r="M702" s="239"/>
      <c r="N702" s="239"/>
      <c r="O702" s="239"/>
      <c r="P702" s="239"/>
      <c r="Q702" s="239"/>
      <c r="R702" s="239"/>
      <c r="S702" s="239"/>
      <c r="T702" s="239"/>
    </row>
    <row r="703" spans="1:20" s="82" customFormat="1" ht="38.25" x14ac:dyDescent="0.25">
      <c r="A703" s="24" t="s">
        <v>958</v>
      </c>
      <c r="B703" s="53">
        <v>913</v>
      </c>
      <c r="C703" s="48" t="s">
        <v>26</v>
      </c>
      <c r="D703" s="48" t="s">
        <v>48</v>
      </c>
      <c r="E703" s="48" t="s">
        <v>957</v>
      </c>
      <c r="F703" s="48"/>
      <c r="G703" s="119">
        <f>G704</f>
        <v>666.7</v>
      </c>
      <c r="H703" s="119">
        <f t="shared" ref="H703:I703" si="243">H704</f>
        <v>0</v>
      </c>
      <c r="I703" s="119">
        <f t="shared" si="243"/>
        <v>0</v>
      </c>
      <c r="J703" s="162"/>
      <c r="K703" s="239"/>
      <c r="L703" s="239"/>
      <c r="M703" s="239"/>
      <c r="N703" s="239"/>
      <c r="O703" s="239"/>
      <c r="P703" s="239"/>
      <c r="Q703" s="239"/>
      <c r="R703" s="239"/>
      <c r="S703" s="239"/>
      <c r="T703" s="239"/>
    </row>
    <row r="704" spans="1:20" s="82" customFormat="1" x14ac:dyDescent="0.25">
      <c r="A704" s="28" t="s">
        <v>85</v>
      </c>
      <c r="B704" s="53">
        <v>913</v>
      </c>
      <c r="C704" s="48" t="s">
        <v>26</v>
      </c>
      <c r="D704" s="48" t="s">
        <v>48</v>
      </c>
      <c r="E704" s="48" t="s">
        <v>957</v>
      </c>
      <c r="F704" s="48" t="s">
        <v>86</v>
      </c>
      <c r="G704" s="119">
        <v>666.7</v>
      </c>
      <c r="H704" s="119">
        <v>0</v>
      </c>
      <c r="I704" s="119">
        <v>0</v>
      </c>
      <c r="J704" s="162"/>
      <c r="K704" s="239"/>
      <c r="L704" s="239"/>
      <c r="M704" s="239"/>
      <c r="N704" s="239"/>
      <c r="O704" s="239"/>
      <c r="P704" s="239"/>
      <c r="Q704" s="239"/>
      <c r="R704" s="239"/>
      <c r="S704" s="239"/>
      <c r="T704" s="239"/>
    </row>
    <row r="705" spans="1:20" s="82" customFormat="1" x14ac:dyDescent="0.25">
      <c r="A705" s="24" t="s">
        <v>5</v>
      </c>
      <c r="B705" s="53">
        <v>913</v>
      </c>
      <c r="C705" s="48" t="s">
        <v>29</v>
      </c>
      <c r="D705" s="48"/>
      <c r="E705" s="48"/>
      <c r="F705" s="48"/>
      <c r="G705" s="119">
        <f>G706+G718</f>
        <v>109819.7</v>
      </c>
      <c r="H705" s="119">
        <f>H706+H718</f>
        <v>50905.2</v>
      </c>
      <c r="I705" s="119">
        <f>I706+I718</f>
        <v>33873.799999999996</v>
      </c>
      <c r="J705" s="162"/>
      <c r="K705" s="239"/>
      <c r="L705" s="239"/>
      <c r="M705" s="239"/>
      <c r="N705" s="239"/>
      <c r="O705" s="239"/>
      <c r="P705" s="239"/>
      <c r="Q705" s="239"/>
      <c r="R705" s="239"/>
      <c r="S705" s="239"/>
      <c r="T705" s="239"/>
    </row>
    <row r="706" spans="1:20" s="82" customFormat="1" x14ac:dyDescent="0.25">
      <c r="A706" s="24" t="s">
        <v>43</v>
      </c>
      <c r="B706" s="53">
        <v>913</v>
      </c>
      <c r="C706" s="48" t="s">
        <v>29</v>
      </c>
      <c r="D706" s="48" t="s">
        <v>31</v>
      </c>
      <c r="E706" s="48"/>
      <c r="F706" s="48"/>
      <c r="G706" s="119">
        <f>G707+G715</f>
        <v>108777.5</v>
      </c>
      <c r="H706" s="119">
        <f t="shared" ref="H706:I706" si="244">H707+H715</f>
        <v>50000</v>
      </c>
      <c r="I706" s="119">
        <f t="shared" si="244"/>
        <v>32968.6</v>
      </c>
      <c r="J706" s="239"/>
      <c r="K706" s="239"/>
      <c r="L706" s="239"/>
      <c r="M706" s="239"/>
      <c r="N706" s="239"/>
      <c r="O706" s="239"/>
      <c r="P706" s="239"/>
      <c r="Q706" s="239"/>
      <c r="R706" s="239"/>
      <c r="S706" s="239"/>
      <c r="T706" s="239"/>
    </row>
    <row r="707" spans="1:20" s="82" customFormat="1" ht="29.25" customHeight="1" x14ac:dyDescent="0.25">
      <c r="A707" s="24" t="s">
        <v>482</v>
      </c>
      <c r="B707" s="53">
        <v>913</v>
      </c>
      <c r="C707" s="48" t="s">
        <v>29</v>
      </c>
      <c r="D707" s="48" t="s">
        <v>31</v>
      </c>
      <c r="E707" s="48" t="s">
        <v>130</v>
      </c>
      <c r="F707" s="48"/>
      <c r="G707" s="119">
        <f>G708+G711</f>
        <v>102777.5</v>
      </c>
      <c r="H707" s="119">
        <f t="shared" ref="H707:I707" si="245">H708+H711</f>
        <v>50000</v>
      </c>
      <c r="I707" s="119">
        <f t="shared" si="245"/>
        <v>32968.6</v>
      </c>
      <c r="J707" s="239"/>
      <c r="K707" s="239"/>
      <c r="L707" s="239"/>
      <c r="M707" s="239"/>
      <c r="N707" s="239"/>
      <c r="O707" s="239"/>
      <c r="P707" s="239"/>
      <c r="Q707" s="239"/>
      <c r="R707" s="239"/>
      <c r="S707" s="239"/>
      <c r="T707" s="239"/>
    </row>
    <row r="708" spans="1:20" s="82" customFormat="1" ht="25.5" x14ac:dyDescent="0.25">
      <c r="A708" s="24" t="s">
        <v>822</v>
      </c>
      <c r="B708" s="53">
        <v>913</v>
      </c>
      <c r="C708" s="48" t="s">
        <v>29</v>
      </c>
      <c r="D708" s="48" t="s">
        <v>31</v>
      </c>
      <c r="E708" s="48" t="s">
        <v>339</v>
      </c>
      <c r="F708" s="48"/>
      <c r="G708" s="119">
        <f>G709</f>
        <v>50000</v>
      </c>
      <c r="H708" s="119">
        <f t="shared" ref="G708:I709" si="246">H709</f>
        <v>50000</v>
      </c>
      <c r="I708" s="119">
        <f t="shared" si="246"/>
        <v>32968.6</v>
      </c>
      <c r="J708" s="239"/>
      <c r="K708" s="239"/>
      <c r="L708" s="239"/>
      <c r="M708" s="239"/>
      <c r="N708" s="239"/>
      <c r="O708" s="239"/>
      <c r="P708" s="239"/>
      <c r="Q708" s="239"/>
      <c r="R708" s="239"/>
      <c r="S708" s="239"/>
      <c r="T708" s="239"/>
    </row>
    <row r="709" spans="1:20" s="82" customFormat="1" ht="38.25" x14ac:dyDescent="0.25">
      <c r="A709" s="24" t="s">
        <v>340</v>
      </c>
      <c r="B709" s="53">
        <v>913</v>
      </c>
      <c r="C709" s="48" t="s">
        <v>29</v>
      </c>
      <c r="D709" s="48" t="s">
        <v>31</v>
      </c>
      <c r="E709" s="48" t="s">
        <v>341</v>
      </c>
      <c r="F709" s="48"/>
      <c r="G709" s="119">
        <f t="shared" si="246"/>
        <v>50000</v>
      </c>
      <c r="H709" s="119">
        <f t="shared" si="246"/>
        <v>50000</v>
      </c>
      <c r="I709" s="119">
        <f t="shared" si="246"/>
        <v>32968.6</v>
      </c>
      <c r="J709" s="239"/>
      <c r="K709" s="239"/>
      <c r="L709" s="239"/>
      <c r="M709" s="239"/>
      <c r="N709" s="239"/>
      <c r="O709" s="239"/>
      <c r="P709" s="239"/>
      <c r="Q709" s="239"/>
      <c r="R709" s="239"/>
      <c r="S709" s="239"/>
      <c r="T709" s="239"/>
    </row>
    <row r="710" spans="1:20" s="82" customFormat="1" ht="25.5" x14ac:dyDescent="0.25">
      <c r="A710" s="24" t="s">
        <v>226</v>
      </c>
      <c r="B710" s="53">
        <v>913</v>
      </c>
      <c r="C710" s="48" t="s">
        <v>29</v>
      </c>
      <c r="D710" s="48" t="s">
        <v>31</v>
      </c>
      <c r="E710" s="48" t="s">
        <v>341</v>
      </c>
      <c r="F710" s="48" t="s">
        <v>59</v>
      </c>
      <c r="G710" s="119">
        <v>50000</v>
      </c>
      <c r="H710" s="119">
        <v>50000</v>
      </c>
      <c r="I710" s="119">
        <v>32968.6</v>
      </c>
      <c r="J710" s="239"/>
      <c r="K710" s="239"/>
      <c r="L710" s="239"/>
      <c r="M710" s="239"/>
      <c r="N710" s="239"/>
      <c r="O710" s="239"/>
      <c r="P710" s="239"/>
      <c r="Q710" s="239"/>
      <c r="R710" s="239"/>
      <c r="S710" s="239"/>
      <c r="T710" s="239"/>
    </row>
    <row r="711" spans="1:20" s="82" customFormat="1" ht="38.25" x14ac:dyDescent="0.25">
      <c r="A711" s="24" t="s">
        <v>985</v>
      </c>
      <c r="B711" s="53">
        <v>913</v>
      </c>
      <c r="C711" s="48" t="s">
        <v>29</v>
      </c>
      <c r="D711" s="48" t="s">
        <v>31</v>
      </c>
      <c r="E711" s="48" t="s">
        <v>984</v>
      </c>
      <c r="F711" s="48"/>
      <c r="G711" s="119">
        <f>G712</f>
        <v>52777.5</v>
      </c>
      <c r="H711" s="119">
        <f t="shared" ref="H711:I713" si="247">H712</f>
        <v>0</v>
      </c>
      <c r="I711" s="119">
        <f t="shared" si="247"/>
        <v>0</v>
      </c>
      <c r="J711" s="239"/>
      <c r="K711" s="239"/>
      <c r="L711" s="239"/>
      <c r="M711" s="239"/>
      <c r="N711" s="239"/>
      <c r="O711" s="239"/>
      <c r="P711" s="239"/>
      <c r="Q711" s="239"/>
      <c r="R711" s="239"/>
      <c r="S711" s="239"/>
      <c r="T711" s="239"/>
    </row>
    <row r="712" spans="1:20" s="82" customFormat="1" ht="51" x14ac:dyDescent="0.25">
      <c r="A712" s="24" t="s">
        <v>986</v>
      </c>
      <c r="B712" s="53">
        <v>913</v>
      </c>
      <c r="C712" s="48" t="s">
        <v>29</v>
      </c>
      <c r="D712" s="48" t="s">
        <v>31</v>
      </c>
      <c r="E712" s="48" t="s">
        <v>987</v>
      </c>
      <c r="F712" s="48"/>
      <c r="G712" s="119">
        <f>G713</f>
        <v>52777.5</v>
      </c>
      <c r="H712" s="119">
        <f t="shared" si="247"/>
        <v>0</v>
      </c>
      <c r="I712" s="119">
        <f t="shared" si="247"/>
        <v>0</v>
      </c>
      <c r="J712" s="239"/>
      <c r="K712" s="239"/>
      <c r="L712" s="239"/>
      <c r="M712" s="239"/>
      <c r="N712" s="239"/>
      <c r="O712" s="239"/>
      <c r="P712" s="239"/>
      <c r="Q712" s="239"/>
      <c r="R712" s="239"/>
      <c r="S712" s="239"/>
      <c r="T712" s="239"/>
    </row>
    <row r="713" spans="1:20" s="82" customFormat="1" ht="76.5" x14ac:dyDescent="0.25">
      <c r="A713" s="24" t="s">
        <v>989</v>
      </c>
      <c r="B713" s="53">
        <v>913</v>
      </c>
      <c r="C713" s="48" t="s">
        <v>29</v>
      </c>
      <c r="D713" s="48" t="s">
        <v>31</v>
      </c>
      <c r="E713" s="48" t="s">
        <v>988</v>
      </c>
      <c r="F713" s="48"/>
      <c r="G713" s="119">
        <f>G714</f>
        <v>52777.5</v>
      </c>
      <c r="H713" s="119">
        <f t="shared" si="247"/>
        <v>0</v>
      </c>
      <c r="I713" s="119">
        <f t="shared" si="247"/>
        <v>0</v>
      </c>
      <c r="J713" s="239"/>
      <c r="K713" s="239"/>
      <c r="L713" s="239"/>
      <c r="M713" s="239"/>
      <c r="N713" s="239"/>
      <c r="O713" s="239"/>
      <c r="P713" s="239"/>
      <c r="Q713" s="239"/>
      <c r="R713" s="239"/>
      <c r="S713" s="239"/>
      <c r="T713" s="239"/>
    </row>
    <row r="714" spans="1:20" s="82" customFormat="1" ht="25.5" x14ac:dyDescent="0.25">
      <c r="A714" s="24" t="s">
        <v>226</v>
      </c>
      <c r="B714" s="53">
        <v>913</v>
      </c>
      <c r="C714" s="48" t="s">
        <v>29</v>
      </c>
      <c r="D714" s="48" t="s">
        <v>31</v>
      </c>
      <c r="E714" s="48" t="s">
        <v>988</v>
      </c>
      <c r="F714" s="48" t="s">
        <v>59</v>
      </c>
      <c r="G714" s="119">
        <v>52777.5</v>
      </c>
      <c r="H714" s="119">
        <v>0</v>
      </c>
      <c r="I714" s="119">
        <v>0</v>
      </c>
      <c r="J714" s="239"/>
      <c r="K714" s="239"/>
      <c r="L714" s="239"/>
      <c r="M714" s="239"/>
      <c r="N714" s="239"/>
      <c r="O714" s="239"/>
      <c r="P714" s="239"/>
      <c r="Q714" s="239"/>
      <c r="R714" s="239"/>
      <c r="S714" s="239"/>
      <c r="T714" s="239"/>
    </row>
    <row r="715" spans="1:20" s="82" customFormat="1" x14ac:dyDescent="0.25">
      <c r="A715" s="23" t="s">
        <v>94</v>
      </c>
      <c r="B715" s="53">
        <v>913</v>
      </c>
      <c r="C715" s="48" t="s">
        <v>29</v>
      </c>
      <c r="D715" s="48" t="s">
        <v>31</v>
      </c>
      <c r="E715" s="48" t="s">
        <v>120</v>
      </c>
      <c r="F715" s="48"/>
      <c r="G715" s="119">
        <f>G716</f>
        <v>6000</v>
      </c>
      <c r="H715" s="119">
        <f t="shared" ref="H715:I716" si="248">H716</f>
        <v>0</v>
      </c>
      <c r="I715" s="119">
        <f t="shared" si="248"/>
        <v>0</v>
      </c>
      <c r="J715" s="239"/>
      <c r="K715" s="239"/>
      <c r="L715" s="239"/>
      <c r="M715" s="239"/>
      <c r="N715" s="239"/>
      <c r="O715" s="239"/>
      <c r="P715" s="239"/>
      <c r="Q715" s="239"/>
      <c r="R715" s="239"/>
      <c r="S715" s="239"/>
      <c r="T715" s="239"/>
    </row>
    <row r="716" spans="1:20" s="82" customFormat="1" ht="51" x14ac:dyDescent="0.25">
      <c r="A716" s="24" t="s">
        <v>1028</v>
      </c>
      <c r="B716" s="53">
        <v>913</v>
      </c>
      <c r="C716" s="48" t="s">
        <v>29</v>
      </c>
      <c r="D716" s="48" t="s">
        <v>31</v>
      </c>
      <c r="E716" s="48" t="s">
        <v>1027</v>
      </c>
      <c r="F716" s="48"/>
      <c r="G716" s="119">
        <f>G717</f>
        <v>6000</v>
      </c>
      <c r="H716" s="119">
        <f t="shared" si="248"/>
        <v>0</v>
      </c>
      <c r="I716" s="119">
        <f t="shared" si="248"/>
        <v>0</v>
      </c>
      <c r="J716" s="239"/>
      <c r="K716" s="239"/>
      <c r="L716" s="239"/>
      <c r="M716" s="239"/>
      <c r="N716" s="239"/>
      <c r="O716" s="239"/>
      <c r="P716" s="239"/>
      <c r="Q716" s="239"/>
      <c r="R716" s="239"/>
      <c r="S716" s="239"/>
      <c r="T716" s="239"/>
    </row>
    <row r="717" spans="1:20" s="82" customFormat="1" x14ac:dyDescent="0.25">
      <c r="A717" s="24" t="s">
        <v>95</v>
      </c>
      <c r="B717" s="53">
        <v>913</v>
      </c>
      <c r="C717" s="48" t="s">
        <v>29</v>
      </c>
      <c r="D717" s="48" t="s">
        <v>31</v>
      </c>
      <c r="E717" s="48" t="s">
        <v>1027</v>
      </c>
      <c r="F717" s="48" t="s">
        <v>62</v>
      </c>
      <c r="G717" s="119">
        <v>6000</v>
      </c>
      <c r="H717" s="119">
        <v>0</v>
      </c>
      <c r="I717" s="119">
        <v>0</v>
      </c>
      <c r="J717" s="239"/>
      <c r="K717" s="239"/>
      <c r="L717" s="239"/>
      <c r="M717" s="239"/>
      <c r="N717" s="239"/>
      <c r="O717" s="239"/>
      <c r="P717" s="239"/>
      <c r="Q717" s="239"/>
      <c r="R717" s="239"/>
      <c r="S717" s="239"/>
      <c r="T717" s="239"/>
    </row>
    <row r="718" spans="1:20" s="89" customFormat="1" x14ac:dyDescent="0.25">
      <c r="A718" s="24" t="s">
        <v>6</v>
      </c>
      <c r="B718" s="53">
        <v>913</v>
      </c>
      <c r="C718" s="48" t="s">
        <v>29</v>
      </c>
      <c r="D718" s="48" t="s">
        <v>36</v>
      </c>
      <c r="E718" s="48"/>
      <c r="F718" s="48"/>
      <c r="G718" s="119">
        <f>G719</f>
        <v>1042.2</v>
      </c>
      <c r="H718" s="119">
        <f>H719</f>
        <v>905.2</v>
      </c>
      <c r="I718" s="119">
        <f>I719</f>
        <v>905.2</v>
      </c>
      <c r="J718" s="69"/>
      <c r="K718" s="69"/>
      <c r="L718" s="69"/>
      <c r="M718" s="69"/>
      <c r="N718" s="69"/>
      <c r="O718" s="69"/>
      <c r="P718" s="69"/>
      <c r="Q718" s="69"/>
      <c r="R718" s="69"/>
      <c r="S718" s="69"/>
      <c r="T718" s="69"/>
    </row>
    <row r="719" spans="1:20" s="82" customFormat="1" ht="33" customHeight="1" x14ac:dyDescent="0.25">
      <c r="A719" s="23" t="s">
        <v>484</v>
      </c>
      <c r="B719" s="53">
        <v>913</v>
      </c>
      <c r="C719" s="48" t="s">
        <v>29</v>
      </c>
      <c r="D719" s="48" t="s">
        <v>36</v>
      </c>
      <c r="E719" s="48" t="s">
        <v>485</v>
      </c>
      <c r="F719" s="48"/>
      <c r="G719" s="119">
        <f>G720+G730</f>
        <v>1042.2</v>
      </c>
      <c r="H719" s="119">
        <f>H720+H730</f>
        <v>905.2</v>
      </c>
      <c r="I719" s="119">
        <f>I720+I730</f>
        <v>905.2</v>
      </c>
      <c r="J719" s="239"/>
      <c r="K719" s="239"/>
      <c r="L719" s="239"/>
      <c r="M719" s="239"/>
      <c r="N719" s="239"/>
      <c r="O719" s="239"/>
      <c r="P719" s="239"/>
      <c r="Q719" s="239"/>
      <c r="R719" s="239"/>
      <c r="S719" s="239"/>
      <c r="T719" s="239"/>
    </row>
    <row r="720" spans="1:20" s="82" customFormat="1" ht="25.5" x14ac:dyDescent="0.25">
      <c r="A720" s="23" t="s">
        <v>772</v>
      </c>
      <c r="B720" s="53">
        <v>913</v>
      </c>
      <c r="C720" s="48" t="s">
        <v>29</v>
      </c>
      <c r="D720" s="48" t="s">
        <v>36</v>
      </c>
      <c r="E720" s="48" t="s">
        <v>486</v>
      </c>
      <c r="F720" s="48"/>
      <c r="G720" s="119">
        <f>G721</f>
        <v>365.2</v>
      </c>
      <c r="H720" s="119">
        <f>H721</f>
        <v>365.20000000000005</v>
      </c>
      <c r="I720" s="119">
        <f>I721</f>
        <v>365.20000000000005</v>
      </c>
      <c r="J720" s="239"/>
      <c r="K720" s="239"/>
      <c r="L720" s="239"/>
      <c r="M720" s="239"/>
      <c r="N720" s="239"/>
      <c r="O720" s="239"/>
      <c r="P720" s="239"/>
      <c r="Q720" s="239"/>
      <c r="R720" s="239"/>
      <c r="S720" s="239"/>
      <c r="T720" s="239"/>
    </row>
    <row r="721" spans="1:20" s="82" customFormat="1" ht="25.5" x14ac:dyDescent="0.25">
      <c r="A721" s="23" t="s">
        <v>823</v>
      </c>
      <c r="B721" s="53">
        <v>913</v>
      </c>
      <c r="C721" s="48" t="s">
        <v>29</v>
      </c>
      <c r="D721" s="48" t="s">
        <v>36</v>
      </c>
      <c r="E721" s="48" t="s">
        <v>487</v>
      </c>
      <c r="F721" s="48"/>
      <c r="G721" s="119">
        <f>G722+G724+G726+G728</f>
        <v>365.2</v>
      </c>
      <c r="H721" s="119">
        <f t="shared" ref="H721:I721" si="249">H722+H724+H726</f>
        <v>365.20000000000005</v>
      </c>
      <c r="I721" s="119">
        <f t="shared" si="249"/>
        <v>365.20000000000005</v>
      </c>
      <c r="J721" s="239"/>
      <c r="K721" s="239"/>
      <c r="L721" s="239"/>
      <c r="M721" s="239"/>
      <c r="N721" s="239"/>
      <c r="O721" s="239"/>
      <c r="P721" s="239"/>
      <c r="Q721" s="239"/>
      <c r="R721" s="239"/>
      <c r="S721" s="239"/>
      <c r="T721" s="239"/>
    </row>
    <row r="722" spans="1:20" s="82" customFormat="1" ht="25.5" x14ac:dyDescent="0.25">
      <c r="A722" s="23" t="s">
        <v>145</v>
      </c>
      <c r="B722" s="53">
        <v>913</v>
      </c>
      <c r="C722" s="48" t="s">
        <v>29</v>
      </c>
      <c r="D722" s="48" t="s">
        <v>36</v>
      </c>
      <c r="E722" s="48" t="s">
        <v>488</v>
      </c>
      <c r="F722" s="48"/>
      <c r="G722" s="119">
        <f>G723</f>
        <v>107.7</v>
      </c>
      <c r="H722" s="119">
        <f t="shared" ref="H722:I722" si="250">H723</f>
        <v>112.2</v>
      </c>
      <c r="I722" s="119">
        <f t="shared" si="250"/>
        <v>112.2</v>
      </c>
      <c r="J722" s="239"/>
      <c r="K722" s="239"/>
      <c r="L722" s="239"/>
      <c r="M722" s="239"/>
      <c r="N722" s="239"/>
      <c r="O722" s="239"/>
      <c r="P722" s="239"/>
      <c r="Q722" s="239"/>
      <c r="R722" s="239"/>
      <c r="S722" s="239"/>
      <c r="T722" s="239"/>
    </row>
    <row r="723" spans="1:20" s="82" customFormat="1" ht="25.5" x14ac:dyDescent="0.25">
      <c r="A723" s="24" t="s">
        <v>226</v>
      </c>
      <c r="B723" s="53">
        <v>913</v>
      </c>
      <c r="C723" s="48" t="s">
        <v>29</v>
      </c>
      <c r="D723" s="48" t="s">
        <v>36</v>
      </c>
      <c r="E723" s="48" t="s">
        <v>488</v>
      </c>
      <c r="F723" s="48" t="s">
        <v>59</v>
      </c>
      <c r="G723" s="119">
        <f>112.2-4.5</f>
        <v>107.7</v>
      </c>
      <c r="H723" s="119">
        <v>112.2</v>
      </c>
      <c r="I723" s="119">
        <v>112.2</v>
      </c>
      <c r="J723" s="239"/>
      <c r="K723" s="239"/>
      <c r="L723" s="239"/>
      <c r="M723" s="239"/>
      <c r="N723" s="239"/>
      <c r="O723" s="239"/>
      <c r="P723" s="239"/>
      <c r="Q723" s="239"/>
      <c r="R723" s="239"/>
      <c r="S723" s="239"/>
      <c r="T723" s="239"/>
    </row>
    <row r="724" spans="1:20" s="82" customFormat="1" ht="25.5" x14ac:dyDescent="0.25">
      <c r="A724" s="23" t="s">
        <v>146</v>
      </c>
      <c r="B724" s="53">
        <v>913</v>
      </c>
      <c r="C724" s="48" t="s">
        <v>29</v>
      </c>
      <c r="D724" s="48" t="s">
        <v>36</v>
      </c>
      <c r="E724" s="48" t="s">
        <v>489</v>
      </c>
      <c r="F724" s="48"/>
      <c r="G724" s="119">
        <f>G725</f>
        <v>107.7</v>
      </c>
      <c r="H724" s="119">
        <f>H725</f>
        <v>110.4</v>
      </c>
      <c r="I724" s="119">
        <f>I725</f>
        <v>110.4</v>
      </c>
      <c r="J724" s="239"/>
      <c r="K724" s="239"/>
      <c r="L724" s="239"/>
      <c r="M724" s="239"/>
      <c r="N724" s="239"/>
      <c r="O724" s="239"/>
      <c r="P724" s="239"/>
      <c r="Q724" s="239"/>
      <c r="R724" s="239"/>
      <c r="S724" s="239"/>
      <c r="T724" s="239"/>
    </row>
    <row r="725" spans="1:20" s="82" customFormat="1" ht="25.5" x14ac:dyDescent="0.25">
      <c r="A725" s="24" t="s">
        <v>226</v>
      </c>
      <c r="B725" s="53">
        <v>913</v>
      </c>
      <c r="C725" s="48" t="s">
        <v>29</v>
      </c>
      <c r="D725" s="48" t="s">
        <v>36</v>
      </c>
      <c r="E725" s="48" t="s">
        <v>489</v>
      </c>
      <c r="F725" s="48" t="s">
        <v>59</v>
      </c>
      <c r="G725" s="119">
        <f>110.4-2.7</f>
        <v>107.7</v>
      </c>
      <c r="H725" s="119">
        <v>110.4</v>
      </c>
      <c r="I725" s="119">
        <v>110.4</v>
      </c>
      <c r="J725" s="239"/>
      <c r="K725" s="239"/>
      <c r="L725" s="239"/>
      <c r="M725" s="239"/>
      <c r="N725" s="239"/>
      <c r="O725" s="239"/>
      <c r="P725" s="239"/>
      <c r="Q725" s="239"/>
      <c r="R725" s="239"/>
      <c r="S725" s="239"/>
      <c r="T725" s="239"/>
    </row>
    <row r="726" spans="1:20" s="82" customFormat="1" x14ac:dyDescent="0.25">
      <c r="A726" s="23" t="s">
        <v>147</v>
      </c>
      <c r="B726" s="53">
        <v>913</v>
      </c>
      <c r="C726" s="48" t="s">
        <v>29</v>
      </c>
      <c r="D726" s="48" t="s">
        <v>36</v>
      </c>
      <c r="E726" s="48" t="s">
        <v>490</v>
      </c>
      <c r="F726" s="48"/>
      <c r="G726" s="119">
        <f>G727</f>
        <v>95</v>
      </c>
      <c r="H726" s="119">
        <f>H727</f>
        <v>142.6</v>
      </c>
      <c r="I726" s="119">
        <f>I727</f>
        <v>142.6</v>
      </c>
      <c r="J726" s="239"/>
      <c r="K726" s="239"/>
      <c r="L726" s="239"/>
      <c r="M726" s="239"/>
      <c r="N726" s="239"/>
      <c r="O726" s="239"/>
      <c r="P726" s="239"/>
      <c r="Q726" s="239"/>
      <c r="R726" s="239"/>
      <c r="S726" s="239"/>
      <c r="T726" s="239"/>
    </row>
    <row r="727" spans="1:20" s="82" customFormat="1" ht="25.5" x14ac:dyDescent="0.25">
      <c r="A727" s="24" t="s">
        <v>226</v>
      </c>
      <c r="B727" s="53">
        <v>913</v>
      </c>
      <c r="C727" s="48" t="s">
        <v>29</v>
      </c>
      <c r="D727" s="48" t="s">
        <v>36</v>
      </c>
      <c r="E727" s="48" t="s">
        <v>490</v>
      </c>
      <c r="F727" s="48" t="s">
        <v>59</v>
      </c>
      <c r="G727" s="119">
        <f>142.6-47.6</f>
        <v>95</v>
      </c>
      <c r="H727" s="119">
        <v>142.6</v>
      </c>
      <c r="I727" s="119">
        <v>142.6</v>
      </c>
      <c r="J727" s="239"/>
      <c r="K727" s="239"/>
      <c r="L727" s="239"/>
      <c r="M727" s="239"/>
      <c r="N727" s="239"/>
      <c r="O727" s="239"/>
      <c r="P727" s="239"/>
      <c r="Q727" s="239"/>
      <c r="R727" s="239"/>
      <c r="S727" s="239"/>
      <c r="T727" s="239"/>
    </row>
    <row r="728" spans="1:20" s="82" customFormat="1" ht="25.5" x14ac:dyDescent="0.25">
      <c r="A728" s="24" t="s">
        <v>1015</v>
      </c>
      <c r="B728" s="53">
        <v>913</v>
      </c>
      <c r="C728" s="48" t="s">
        <v>29</v>
      </c>
      <c r="D728" s="48" t="s">
        <v>36</v>
      </c>
      <c r="E728" s="48" t="s">
        <v>1014</v>
      </c>
      <c r="F728" s="48"/>
      <c r="G728" s="119">
        <f>G729</f>
        <v>54.8</v>
      </c>
      <c r="H728" s="119">
        <f t="shared" ref="H728:I728" si="251">H729</f>
        <v>0</v>
      </c>
      <c r="I728" s="119">
        <f t="shared" si="251"/>
        <v>0</v>
      </c>
      <c r="J728" s="239"/>
      <c r="K728" s="239"/>
      <c r="L728" s="239"/>
      <c r="M728" s="239"/>
      <c r="N728" s="239"/>
      <c r="O728" s="239"/>
      <c r="P728" s="239"/>
      <c r="Q728" s="239"/>
      <c r="R728" s="239"/>
      <c r="S728" s="239"/>
      <c r="T728" s="239"/>
    </row>
    <row r="729" spans="1:20" s="82" customFormat="1" ht="25.5" x14ac:dyDescent="0.25">
      <c r="A729" s="24" t="s">
        <v>226</v>
      </c>
      <c r="B729" s="53">
        <v>913</v>
      </c>
      <c r="C729" s="48" t="s">
        <v>29</v>
      </c>
      <c r="D729" s="48" t="s">
        <v>36</v>
      </c>
      <c r="E729" s="48" t="s">
        <v>1014</v>
      </c>
      <c r="F729" s="48" t="s">
        <v>59</v>
      </c>
      <c r="G729" s="119">
        <v>54.8</v>
      </c>
      <c r="H729" s="119">
        <v>0</v>
      </c>
      <c r="I729" s="119">
        <v>0</v>
      </c>
      <c r="J729" s="239"/>
      <c r="K729" s="239"/>
      <c r="L729" s="239"/>
      <c r="M729" s="239"/>
      <c r="N729" s="239"/>
      <c r="O729" s="239"/>
      <c r="P729" s="239"/>
      <c r="Q729" s="239"/>
      <c r="R729" s="239"/>
      <c r="S729" s="239"/>
      <c r="T729" s="239"/>
    </row>
    <row r="730" spans="1:20" s="82" customFormat="1" x14ac:dyDescent="0.25">
      <c r="A730" s="23" t="s">
        <v>773</v>
      </c>
      <c r="B730" s="53">
        <v>913</v>
      </c>
      <c r="C730" s="48" t="s">
        <v>29</v>
      </c>
      <c r="D730" s="48" t="s">
        <v>36</v>
      </c>
      <c r="E730" s="48" t="s">
        <v>491</v>
      </c>
      <c r="F730" s="48"/>
      <c r="G730" s="119">
        <f>G731+G734</f>
        <v>677</v>
      </c>
      <c r="H730" s="119">
        <f t="shared" ref="H730:I730" si="252">H731+H734</f>
        <v>540</v>
      </c>
      <c r="I730" s="119">
        <f t="shared" si="252"/>
        <v>540</v>
      </c>
      <c r="J730" s="239"/>
      <c r="K730" s="239"/>
      <c r="L730" s="239"/>
      <c r="M730" s="239"/>
      <c r="N730" s="239"/>
      <c r="O730" s="239"/>
      <c r="P730" s="239"/>
      <c r="Q730" s="239"/>
      <c r="R730" s="239"/>
      <c r="S730" s="239"/>
      <c r="T730" s="239"/>
    </row>
    <row r="731" spans="1:20" s="82" customFormat="1" x14ac:dyDescent="0.25">
      <c r="A731" s="24" t="s">
        <v>824</v>
      </c>
      <c r="B731" s="53">
        <v>913</v>
      </c>
      <c r="C731" s="48" t="s">
        <v>29</v>
      </c>
      <c r="D731" s="48" t="s">
        <v>36</v>
      </c>
      <c r="E731" s="48" t="s">
        <v>492</v>
      </c>
      <c r="F731" s="48"/>
      <c r="G731" s="119">
        <f t="shared" ref="G731:I732" si="253">G732</f>
        <v>540</v>
      </c>
      <c r="H731" s="119">
        <f t="shared" si="253"/>
        <v>540</v>
      </c>
      <c r="I731" s="119">
        <f t="shared" si="253"/>
        <v>540</v>
      </c>
      <c r="J731" s="239"/>
      <c r="K731" s="239"/>
      <c r="L731" s="239"/>
      <c r="M731" s="239"/>
      <c r="N731" s="239"/>
      <c r="O731" s="239"/>
      <c r="P731" s="239"/>
      <c r="Q731" s="239"/>
      <c r="R731" s="239"/>
      <c r="S731" s="239"/>
      <c r="T731" s="239"/>
    </row>
    <row r="732" spans="1:20" s="82" customFormat="1" ht="38.25" x14ac:dyDescent="0.25">
      <c r="A732" s="24" t="s">
        <v>572</v>
      </c>
      <c r="B732" s="53">
        <v>913</v>
      </c>
      <c r="C732" s="48" t="s">
        <v>29</v>
      </c>
      <c r="D732" s="48" t="s">
        <v>36</v>
      </c>
      <c r="E732" s="48" t="s">
        <v>493</v>
      </c>
      <c r="F732" s="48"/>
      <c r="G732" s="119">
        <f t="shared" si="253"/>
        <v>540</v>
      </c>
      <c r="H732" s="119">
        <f t="shared" si="253"/>
        <v>540</v>
      </c>
      <c r="I732" s="119">
        <f t="shared" si="253"/>
        <v>540</v>
      </c>
      <c r="J732" s="239"/>
      <c r="K732" s="239"/>
      <c r="L732" s="239"/>
      <c r="M732" s="239"/>
      <c r="N732" s="239"/>
      <c r="O732" s="239"/>
      <c r="P732" s="239"/>
      <c r="Q732" s="239"/>
      <c r="R732" s="239"/>
      <c r="S732" s="239"/>
      <c r="T732" s="239"/>
    </row>
    <row r="733" spans="1:20" s="82" customFormat="1" x14ac:dyDescent="0.25">
      <c r="A733" s="24" t="s">
        <v>95</v>
      </c>
      <c r="B733" s="53">
        <v>913</v>
      </c>
      <c r="C733" s="48" t="s">
        <v>29</v>
      </c>
      <c r="D733" s="48" t="s">
        <v>36</v>
      </c>
      <c r="E733" s="48" t="s">
        <v>493</v>
      </c>
      <c r="F733" s="48" t="s">
        <v>62</v>
      </c>
      <c r="G733" s="119">
        <v>540</v>
      </c>
      <c r="H733" s="119">
        <v>540</v>
      </c>
      <c r="I733" s="119">
        <v>540</v>
      </c>
      <c r="J733" s="239"/>
      <c r="K733" s="239"/>
      <c r="L733" s="239"/>
      <c r="M733" s="239"/>
      <c r="N733" s="239"/>
      <c r="O733" s="239"/>
      <c r="P733" s="239"/>
      <c r="Q733" s="239"/>
      <c r="R733" s="239"/>
      <c r="S733" s="239"/>
      <c r="T733" s="239"/>
    </row>
    <row r="734" spans="1:20" s="82" customFormat="1" x14ac:dyDescent="0.25">
      <c r="A734" s="24" t="s">
        <v>956</v>
      </c>
      <c r="B734" s="53">
        <v>913</v>
      </c>
      <c r="C734" s="48" t="s">
        <v>29</v>
      </c>
      <c r="D734" s="48" t="s">
        <v>36</v>
      </c>
      <c r="E734" s="48" t="s">
        <v>953</v>
      </c>
      <c r="F734" s="48"/>
      <c r="G734" s="119">
        <f>G735</f>
        <v>137</v>
      </c>
      <c r="H734" s="119">
        <f t="shared" ref="H734:I735" si="254">H735</f>
        <v>0</v>
      </c>
      <c r="I734" s="119">
        <f t="shared" si="254"/>
        <v>0</v>
      </c>
      <c r="J734" s="239"/>
      <c r="K734" s="239"/>
      <c r="L734" s="239"/>
      <c r="M734" s="239"/>
      <c r="N734" s="239"/>
      <c r="O734" s="239"/>
      <c r="P734" s="239"/>
      <c r="Q734" s="239"/>
      <c r="R734" s="239"/>
      <c r="S734" s="239"/>
      <c r="T734" s="239"/>
    </row>
    <row r="735" spans="1:20" s="82" customFormat="1" x14ac:dyDescent="0.25">
      <c r="A735" s="24" t="s">
        <v>955</v>
      </c>
      <c r="B735" s="53">
        <v>913</v>
      </c>
      <c r="C735" s="48" t="s">
        <v>29</v>
      </c>
      <c r="D735" s="48" t="s">
        <v>36</v>
      </c>
      <c r="E735" s="48" t="s">
        <v>954</v>
      </c>
      <c r="F735" s="48"/>
      <c r="G735" s="119">
        <f>G736</f>
        <v>137</v>
      </c>
      <c r="H735" s="119">
        <f t="shared" si="254"/>
        <v>0</v>
      </c>
      <c r="I735" s="119">
        <f t="shared" si="254"/>
        <v>0</v>
      </c>
      <c r="J735" s="239"/>
      <c r="K735" s="239"/>
      <c r="L735" s="239"/>
      <c r="M735" s="239"/>
      <c r="N735" s="239"/>
      <c r="O735" s="239"/>
      <c r="P735" s="239"/>
      <c r="Q735" s="239"/>
      <c r="R735" s="239"/>
      <c r="S735" s="239"/>
      <c r="T735" s="239"/>
    </row>
    <row r="736" spans="1:20" s="82" customFormat="1" ht="25.5" x14ac:dyDescent="0.25">
      <c r="A736" s="24" t="s">
        <v>226</v>
      </c>
      <c r="B736" s="53">
        <v>913</v>
      </c>
      <c r="C736" s="48" t="s">
        <v>29</v>
      </c>
      <c r="D736" s="48" t="s">
        <v>36</v>
      </c>
      <c r="E736" s="48" t="s">
        <v>954</v>
      </c>
      <c r="F736" s="48" t="s">
        <v>59</v>
      </c>
      <c r="G736" s="119">
        <v>137</v>
      </c>
      <c r="H736" s="119">
        <v>0</v>
      </c>
      <c r="I736" s="119">
        <v>0</v>
      </c>
      <c r="J736" s="239"/>
      <c r="K736" s="239"/>
      <c r="L736" s="239"/>
      <c r="M736" s="239"/>
      <c r="N736" s="239"/>
      <c r="O736" s="239"/>
      <c r="P736" s="239"/>
      <c r="Q736" s="239"/>
      <c r="R736" s="239"/>
      <c r="S736" s="239"/>
      <c r="T736" s="239"/>
    </row>
    <row r="737" spans="1:20" s="82" customFormat="1" x14ac:dyDescent="0.25">
      <c r="A737" s="24" t="s">
        <v>7</v>
      </c>
      <c r="B737" s="53">
        <v>913</v>
      </c>
      <c r="C737" s="48" t="s">
        <v>30</v>
      </c>
      <c r="D737" s="48"/>
      <c r="E737" s="48"/>
      <c r="F737" s="48"/>
      <c r="G737" s="119">
        <f>G766+G738</f>
        <v>13051.9</v>
      </c>
      <c r="H737" s="119">
        <f>H766+H738</f>
        <v>13155.3</v>
      </c>
      <c r="I737" s="119">
        <f>I766+I738</f>
        <v>13587.499999999998</v>
      </c>
      <c r="J737" s="239"/>
      <c r="K737" s="239"/>
      <c r="L737" s="239"/>
      <c r="M737" s="239"/>
      <c r="N737" s="239"/>
      <c r="O737" s="239"/>
      <c r="P737" s="239"/>
      <c r="Q737" s="239"/>
      <c r="R737" s="239"/>
      <c r="S737" s="239"/>
      <c r="T737" s="239"/>
    </row>
    <row r="738" spans="1:20" s="82" customFormat="1" x14ac:dyDescent="0.25">
      <c r="A738" s="24" t="s">
        <v>306</v>
      </c>
      <c r="B738" s="53">
        <v>913</v>
      </c>
      <c r="C738" s="48" t="s">
        <v>30</v>
      </c>
      <c r="D738" s="48" t="s">
        <v>30</v>
      </c>
      <c r="E738" s="48"/>
      <c r="F738" s="48"/>
      <c r="G738" s="119">
        <f>G739</f>
        <v>9339.9</v>
      </c>
      <c r="H738" s="119">
        <f t="shared" ref="H738:I738" si="255">H739</f>
        <v>9296</v>
      </c>
      <c r="I738" s="119">
        <f t="shared" si="255"/>
        <v>9575.0999999999985</v>
      </c>
      <c r="J738" s="239"/>
      <c r="K738" s="239"/>
      <c r="L738" s="239"/>
      <c r="M738" s="239"/>
      <c r="N738" s="239"/>
      <c r="O738" s="239"/>
      <c r="P738" s="239"/>
      <c r="Q738" s="239"/>
      <c r="R738" s="239"/>
      <c r="S738" s="239"/>
      <c r="T738" s="239"/>
    </row>
    <row r="739" spans="1:20" s="82" customFormat="1" x14ac:dyDescent="0.25">
      <c r="A739" s="24" t="s">
        <v>545</v>
      </c>
      <c r="B739" s="53">
        <v>913</v>
      </c>
      <c r="C739" s="48" t="s">
        <v>30</v>
      </c>
      <c r="D739" s="48" t="s">
        <v>30</v>
      </c>
      <c r="E739" s="48" t="s">
        <v>173</v>
      </c>
      <c r="F739" s="48"/>
      <c r="G739" s="119">
        <f>G740+G762+G756</f>
        <v>9339.9</v>
      </c>
      <c r="H739" s="119">
        <f t="shared" ref="H739:I739" si="256">H740+H762+H756</f>
        <v>9296</v>
      </c>
      <c r="I739" s="119">
        <f t="shared" si="256"/>
        <v>9575.0999999999985</v>
      </c>
      <c r="J739" s="239"/>
      <c r="K739" s="239"/>
      <c r="L739" s="239"/>
      <c r="M739" s="239"/>
      <c r="N739" s="239"/>
      <c r="O739" s="239"/>
      <c r="P739" s="239"/>
      <c r="Q739" s="239"/>
      <c r="R739" s="239"/>
      <c r="S739" s="239"/>
      <c r="T739" s="239"/>
    </row>
    <row r="740" spans="1:20" s="82" customFormat="1" x14ac:dyDescent="0.25">
      <c r="A740" s="24" t="s">
        <v>745</v>
      </c>
      <c r="B740" s="53">
        <v>913</v>
      </c>
      <c r="C740" s="48" t="s">
        <v>30</v>
      </c>
      <c r="D740" s="48" t="s">
        <v>30</v>
      </c>
      <c r="E740" s="48" t="s">
        <v>174</v>
      </c>
      <c r="F740" s="48"/>
      <c r="G740" s="119">
        <f>G741+G750+G753</f>
        <v>1213.8</v>
      </c>
      <c r="H740" s="119">
        <f>H741+H750+H753</f>
        <v>901.6</v>
      </c>
      <c r="I740" s="119">
        <f>I741+I750+I753</f>
        <v>901.6</v>
      </c>
      <c r="J740" s="239"/>
      <c r="K740" s="239"/>
      <c r="L740" s="239"/>
      <c r="M740" s="239"/>
      <c r="N740" s="239"/>
      <c r="O740" s="239"/>
      <c r="P740" s="239"/>
      <c r="Q740" s="239"/>
      <c r="R740" s="239"/>
      <c r="S740" s="239"/>
      <c r="T740" s="239"/>
    </row>
    <row r="741" spans="1:20" s="82" customFormat="1" ht="25.5" x14ac:dyDescent="0.25">
      <c r="A741" s="24" t="s">
        <v>746</v>
      </c>
      <c r="B741" s="53">
        <v>913</v>
      </c>
      <c r="C741" s="48" t="s">
        <v>30</v>
      </c>
      <c r="D741" s="48" t="s">
        <v>30</v>
      </c>
      <c r="E741" s="48" t="s">
        <v>182</v>
      </c>
      <c r="F741" s="48"/>
      <c r="G741" s="119">
        <f>G742+G746+G748+G744</f>
        <v>717.8</v>
      </c>
      <c r="H741" s="119">
        <f>H742+H746+H748+H744</f>
        <v>405.6</v>
      </c>
      <c r="I741" s="119">
        <f>I742+I746+I748+I744</f>
        <v>405.6</v>
      </c>
      <c r="J741" s="239"/>
      <c r="K741" s="239"/>
      <c r="L741" s="239"/>
      <c r="M741" s="239"/>
      <c r="N741" s="239"/>
      <c r="O741" s="239"/>
      <c r="P741" s="239"/>
      <c r="Q741" s="239"/>
      <c r="R741" s="239"/>
      <c r="S741" s="239"/>
      <c r="T741" s="239"/>
    </row>
    <row r="742" spans="1:20" s="82" customFormat="1" x14ac:dyDescent="0.25">
      <c r="A742" s="24" t="s">
        <v>183</v>
      </c>
      <c r="B742" s="53">
        <v>913</v>
      </c>
      <c r="C742" s="48" t="s">
        <v>30</v>
      </c>
      <c r="D742" s="48" t="s">
        <v>30</v>
      </c>
      <c r="E742" s="48" t="s">
        <v>273</v>
      </c>
      <c r="F742" s="48"/>
      <c r="G742" s="119">
        <f>G743</f>
        <v>146.30000000000001</v>
      </c>
      <c r="H742" s="119">
        <f>H743</f>
        <v>146.30000000000001</v>
      </c>
      <c r="I742" s="119">
        <f>I743</f>
        <v>146.30000000000001</v>
      </c>
      <c r="J742" s="239"/>
      <c r="K742" s="239"/>
      <c r="L742" s="239"/>
      <c r="M742" s="239"/>
      <c r="N742" s="239"/>
      <c r="O742" s="239"/>
      <c r="P742" s="239"/>
      <c r="Q742" s="239"/>
      <c r="R742" s="239"/>
      <c r="S742" s="239"/>
      <c r="T742" s="239"/>
    </row>
    <row r="743" spans="1:20" s="82" customFormat="1" ht="25.5" x14ac:dyDescent="0.25">
      <c r="A743" s="24" t="s">
        <v>226</v>
      </c>
      <c r="B743" s="53">
        <v>913</v>
      </c>
      <c r="C743" s="48" t="s">
        <v>30</v>
      </c>
      <c r="D743" s="48" t="s">
        <v>30</v>
      </c>
      <c r="E743" s="48" t="s">
        <v>273</v>
      </c>
      <c r="F743" s="48" t="s">
        <v>59</v>
      </c>
      <c r="G743" s="119">
        <v>146.30000000000001</v>
      </c>
      <c r="H743" s="119">
        <v>146.30000000000001</v>
      </c>
      <c r="I743" s="119">
        <v>146.30000000000001</v>
      </c>
      <c r="J743" s="239"/>
      <c r="K743" s="239"/>
      <c r="L743" s="239"/>
      <c r="M743" s="239"/>
      <c r="N743" s="239"/>
      <c r="O743" s="239"/>
      <c r="P743" s="239"/>
      <c r="Q743" s="239"/>
      <c r="R743" s="239"/>
      <c r="S743" s="239"/>
      <c r="T743" s="239"/>
    </row>
    <row r="744" spans="1:20" s="82" customFormat="1" x14ac:dyDescent="0.25">
      <c r="A744" s="24" t="s">
        <v>274</v>
      </c>
      <c r="B744" s="53">
        <v>913</v>
      </c>
      <c r="C744" s="48" t="s">
        <v>30</v>
      </c>
      <c r="D744" s="48" t="s">
        <v>30</v>
      </c>
      <c r="E744" s="48" t="s">
        <v>275</v>
      </c>
      <c r="F744" s="48"/>
      <c r="G744" s="119">
        <f>G745</f>
        <v>450.5</v>
      </c>
      <c r="H744" s="119">
        <f>H745</f>
        <v>138.30000000000001</v>
      </c>
      <c r="I744" s="119">
        <f>I745</f>
        <v>138.30000000000001</v>
      </c>
      <c r="J744" s="239"/>
      <c r="K744" s="239"/>
      <c r="L744" s="239"/>
      <c r="M744" s="239"/>
      <c r="N744" s="239"/>
      <c r="O744" s="239"/>
      <c r="P744" s="239"/>
      <c r="Q744" s="239"/>
      <c r="R744" s="239"/>
      <c r="S744" s="239"/>
      <c r="T744" s="239"/>
    </row>
    <row r="745" spans="1:20" s="82" customFormat="1" ht="25.5" x14ac:dyDescent="0.25">
      <c r="A745" s="24" t="s">
        <v>226</v>
      </c>
      <c r="B745" s="53">
        <v>913</v>
      </c>
      <c r="C745" s="48" t="s">
        <v>30</v>
      </c>
      <c r="D745" s="48" t="s">
        <v>30</v>
      </c>
      <c r="E745" s="48" t="s">
        <v>275</v>
      </c>
      <c r="F745" s="48" t="s">
        <v>59</v>
      </c>
      <c r="G745" s="119">
        <f>138.3+312.2</f>
        <v>450.5</v>
      </c>
      <c r="H745" s="119">
        <v>138.30000000000001</v>
      </c>
      <c r="I745" s="119">
        <v>138.30000000000001</v>
      </c>
      <c r="J745" s="239"/>
      <c r="K745" s="239"/>
      <c r="L745" s="239"/>
      <c r="M745" s="239"/>
      <c r="N745" s="239"/>
      <c r="O745" s="239"/>
      <c r="P745" s="239"/>
      <c r="Q745" s="239"/>
      <c r="R745" s="239"/>
      <c r="S745" s="239"/>
      <c r="T745" s="239"/>
    </row>
    <row r="746" spans="1:20" s="82" customFormat="1" ht="25.5" x14ac:dyDescent="0.25">
      <c r="A746" s="24" t="s">
        <v>176</v>
      </c>
      <c r="B746" s="53">
        <v>913</v>
      </c>
      <c r="C746" s="48" t="s">
        <v>30</v>
      </c>
      <c r="D746" s="48" t="s">
        <v>30</v>
      </c>
      <c r="E746" s="48" t="s">
        <v>276</v>
      </c>
      <c r="F746" s="48"/>
      <c r="G746" s="119">
        <f>G747</f>
        <v>40</v>
      </c>
      <c r="H746" s="119">
        <f>H747</f>
        <v>40</v>
      </c>
      <c r="I746" s="119">
        <f>I747</f>
        <v>40</v>
      </c>
      <c r="J746" s="239"/>
      <c r="K746" s="239"/>
      <c r="L746" s="239"/>
      <c r="M746" s="239"/>
      <c r="N746" s="239"/>
      <c r="O746" s="239"/>
      <c r="P746" s="239"/>
      <c r="Q746" s="239"/>
      <c r="R746" s="239"/>
      <c r="S746" s="239"/>
      <c r="T746" s="239"/>
    </row>
    <row r="747" spans="1:20" s="82" customFormat="1" ht="25.5" x14ac:dyDescent="0.25">
      <c r="A747" s="24" t="s">
        <v>226</v>
      </c>
      <c r="B747" s="53">
        <v>913</v>
      </c>
      <c r="C747" s="48" t="s">
        <v>30</v>
      </c>
      <c r="D747" s="48" t="s">
        <v>30</v>
      </c>
      <c r="E747" s="48" t="s">
        <v>276</v>
      </c>
      <c r="F747" s="48" t="s">
        <v>59</v>
      </c>
      <c r="G747" s="119">
        <v>40</v>
      </c>
      <c r="H747" s="119">
        <v>40</v>
      </c>
      <c r="I747" s="119">
        <v>40</v>
      </c>
      <c r="J747" s="239"/>
      <c r="K747" s="239"/>
      <c r="L747" s="239"/>
      <c r="M747" s="239"/>
      <c r="N747" s="239"/>
      <c r="O747" s="239"/>
      <c r="P747" s="239"/>
      <c r="Q747" s="239"/>
      <c r="R747" s="239"/>
      <c r="S747" s="239"/>
      <c r="T747" s="239"/>
    </row>
    <row r="748" spans="1:20" s="82" customFormat="1" ht="38.25" x14ac:dyDescent="0.25">
      <c r="A748" s="24" t="s">
        <v>177</v>
      </c>
      <c r="B748" s="53">
        <v>913</v>
      </c>
      <c r="C748" s="48" t="s">
        <v>30</v>
      </c>
      <c r="D748" s="48" t="s">
        <v>30</v>
      </c>
      <c r="E748" s="48" t="s">
        <v>277</v>
      </c>
      <c r="F748" s="48"/>
      <c r="G748" s="119">
        <f>G749</f>
        <v>81</v>
      </c>
      <c r="H748" s="119">
        <f>H749</f>
        <v>81</v>
      </c>
      <c r="I748" s="119">
        <f>I749</f>
        <v>81</v>
      </c>
      <c r="J748" s="239"/>
      <c r="K748" s="239"/>
      <c r="L748" s="239"/>
      <c r="M748" s="239"/>
      <c r="N748" s="239"/>
      <c r="O748" s="239"/>
      <c r="P748" s="239"/>
      <c r="Q748" s="239"/>
      <c r="R748" s="239"/>
      <c r="S748" s="239"/>
      <c r="T748" s="239"/>
    </row>
    <row r="749" spans="1:20" s="82" customFormat="1" ht="25.5" x14ac:dyDescent="0.25">
      <c r="A749" s="24" t="s">
        <v>226</v>
      </c>
      <c r="B749" s="53">
        <v>913</v>
      </c>
      <c r="C749" s="48" t="s">
        <v>30</v>
      </c>
      <c r="D749" s="48" t="s">
        <v>30</v>
      </c>
      <c r="E749" s="48" t="s">
        <v>277</v>
      </c>
      <c r="F749" s="48" t="s">
        <v>59</v>
      </c>
      <c r="G749" s="119">
        <v>81</v>
      </c>
      <c r="H749" s="119">
        <v>81</v>
      </c>
      <c r="I749" s="119">
        <v>81</v>
      </c>
      <c r="J749" s="239"/>
      <c r="K749" s="239"/>
      <c r="L749" s="239"/>
      <c r="M749" s="239"/>
      <c r="N749" s="239"/>
      <c r="O749" s="239"/>
      <c r="P749" s="239"/>
      <c r="Q749" s="239"/>
      <c r="R749" s="239"/>
      <c r="S749" s="239"/>
      <c r="T749" s="239"/>
    </row>
    <row r="750" spans="1:20" s="82" customFormat="1" ht="25.5" x14ac:dyDescent="0.25">
      <c r="A750" s="24" t="s">
        <v>747</v>
      </c>
      <c r="B750" s="53">
        <v>913</v>
      </c>
      <c r="C750" s="48" t="s">
        <v>30</v>
      </c>
      <c r="D750" s="48" t="s">
        <v>30</v>
      </c>
      <c r="E750" s="48" t="s">
        <v>178</v>
      </c>
      <c r="F750" s="48"/>
      <c r="G750" s="119">
        <f t="shared" ref="G750:I751" si="257">G751</f>
        <v>396</v>
      </c>
      <c r="H750" s="119">
        <f t="shared" si="257"/>
        <v>396</v>
      </c>
      <c r="I750" s="119">
        <f t="shared" si="257"/>
        <v>396</v>
      </c>
      <c r="J750" s="239"/>
      <c r="K750" s="239"/>
      <c r="L750" s="239"/>
      <c r="M750" s="239"/>
      <c r="N750" s="239"/>
      <c r="O750" s="239"/>
      <c r="P750" s="239"/>
      <c r="Q750" s="239"/>
      <c r="R750" s="239"/>
      <c r="S750" s="239"/>
      <c r="T750" s="239"/>
    </row>
    <row r="751" spans="1:20" s="82" customFormat="1" ht="25.5" x14ac:dyDescent="0.25">
      <c r="A751" s="24" t="s">
        <v>678</v>
      </c>
      <c r="B751" s="53">
        <v>913</v>
      </c>
      <c r="C751" s="48" t="s">
        <v>30</v>
      </c>
      <c r="D751" s="48" t="s">
        <v>30</v>
      </c>
      <c r="E751" s="48" t="s">
        <v>278</v>
      </c>
      <c r="F751" s="48"/>
      <c r="G751" s="119">
        <f t="shared" si="257"/>
        <v>396</v>
      </c>
      <c r="H751" s="119">
        <f t="shared" si="257"/>
        <v>396</v>
      </c>
      <c r="I751" s="119">
        <f t="shared" si="257"/>
        <v>396</v>
      </c>
      <c r="J751" s="239"/>
      <c r="K751" s="239"/>
      <c r="L751" s="239"/>
      <c r="M751" s="239"/>
      <c r="N751" s="239"/>
      <c r="O751" s="239"/>
      <c r="P751" s="239"/>
      <c r="Q751" s="239"/>
      <c r="R751" s="239"/>
      <c r="S751" s="239"/>
      <c r="T751" s="239"/>
    </row>
    <row r="752" spans="1:20" s="82" customFormat="1" ht="25.5" x14ac:dyDescent="0.25">
      <c r="A752" s="24" t="s">
        <v>226</v>
      </c>
      <c r="B752" s="53">
        <v>913</v>
      </c>
      <c r="C752" s="48" t="s">
        <v>30</v>
      </c>
      <c r="D752" s="48" t="s">
        <v>30</v>
      </c>
      <c r="E752" s="48" t="s">
        <v>278</v>
      </c>
      <c r="F752" s="48" t="s">
        <v>59</v>
      </c>
      <c r="G752" s="119">
        <v>396</v>
      </c>
      <c r="H752" s="119">
        <v>396</v>
      </c>
      <c r="I752" s="119">
        <v>396</v>
      </c>
      <c r="J752" s="239"/>
      <c r="K752" s="239"/>
      <c r="L752" s="239"/>
      <c r="M752" s="239"/>
      <c r="N752" s="239"/>
      <c r="O752" s="239"/>
      <c r="P752" s="239"/>
      <c r="Q752" s="239"/>
      <c r="R752" s="239"/>
      <c r="S752" s="239"/>
      <c r="T752" s="239"/>
    </row>
    <row r="753" spans="1:20" s="82" customFormat="1" ht="38.25" x14ac:dyDescent="0.25">
      <c r="A753" s="24" t="s">
        <v>748</v>
      </c>
      <c r="B753" s="53">
        <v>913</v>
      </c>
      <c r="C753" s="48" t="s">
        <v>30</v>
      </c>
      <c r="D753" s="48" t="s">
        <v>30</v>
      </c>
      <c r="E753" s="48" t="s">
        <v>179</v>
      </c>
      <c r="F753" s="48"/>
      <c r="G753" s="119">
        <f>G754</f>
        <v>100</v>
      </c>
      <c r="H753" s="119">
        <f t="shared" ref="H753:I753" si="258">H754</f>
        <v>100</v>
      </c>
      <c r="I753" s="119">
        <f t="shared" si="258"/>
        <v>100</v>
      </c>
      <c r="J753" s="239"/>
      <c r="K753" s="239"/>
      <c r="L753" s="239"/>
      <c r="M753" s="239"/>
      <c r="N753" s="239"/>
      <c r="O753" s="239"/>
      <c r="P753" s="239"/>
      <c r="Q753" s="239"/>
      <c r="R753" s="239"/>
      <c r="S753" s="239"/>
      <c r="T753" s="239"/>
    </row>
    <row r="754" spans="1:20" s="82" customFormat="1" ht="38.25" x14ac:dyDescent="0.25">
      <c r="A754" s="24" t="s">
        <v>311</v>
      </c>
      <c r="B754" s="53">
        <v>913</v>
      </c>
      <c r="C754" s="48" t="s">
        <v>30</v>
      </c>
      <c r="D754" s="48" t="s">
        <v>30</v>
      </c>
      <c r="E754" s="48" t="s">
        <v>283</v>
      </c>
      <c r="F754" s="48"/>
      <c r="G754" s="119">
        <f>G755</f>
        <v>100</v>
      </c>
      <c r="H754" s="119">
        <f>H755</f>
        <v>100</v>
      </c>
      <c r="I754" s="119">
        <f>I755</f>
        <v>100</v>
      </c>
      <c r="J754" s="239"/>
      <c r="K754" s="239"/>
      <c r="L754" s="239"/>
      <c r="M754" s="239"/>
      <c r="N754" s="239"/>
      <c r="O754" s="239"/>
      <c r="P754" s="239"/>
      <c r="Q754" s="239"/>
      <c r="R754" s="239"/>
      <c r="S754" s="239"/>
      <c r="T754" s="239"/>
    </row>
    <row r="755" spans="1:20" s="82" customFormat="1" ht="25.5" x14ac:dyDescent="0.25">
      <c r="A755" s="24" t="s">
        <v>64</v>
      </c>
      <c r="B755" s="53">
        <v>913</v>
      </c>
      <c r="C755" s="48" t="s">
        <v>30</v>
      </c>
      <c r="D755" s="48" t="s">
        <v>30</v>
      </c>
      <c r="E755" s="48" t="s">
        <v>283</v>
      </c>
      <c r="F755" s="48" t="s">
        <v>65</v>
      </c>
      <c r="G755" s="119">
        <v>100</v>
      </c>
      <c r="H755" s="119">
        <v>100</v>
      </c>
      <c r="I755" s="119">
        <v>100</v>
      </c>
      <c r="J755" s="239"/>
      <c r="K755" s="239"/>
      <c r="L755" s="239"/>
      <c r="M755" s="239"/>
      <c r="N755" s="239"/>
      <c r="O755" s="239"/>
      <c r="P755" s="239"/>
      <c r="Q755" s="239"/>
      <c r="R755" s="239"/>
      <c r="S755" s="239"/>
      <c r="T755" s="239"/>
    </row>
    <row r="756" spans="1:20" s="82" customFormat="1" ht="25.5" x14ac:dyDescent="0.25">
      <c r="A756" s="23" t="s">
        <v>749</v>
      </c>
      <c r="B756" s="53">
        <v>913</v>
      </c>
      <c r="C756" s="48" t="s">
        <v>30</v>
      </c>
      <c r="D756" s="48" t="s">
        <v>30</v>
      </c>
      <c r="E756" s="48" t="s">
        <v>180</v>
      </c>
      <c r="F756" s="48"/>
      <c r="G756" s="119">
        <f t="shared" ref="G756:I757" si="259">G757</f>
        <v>7972.8</v>
      </c>
      <c r="H756" s="119">
        <f t="shared" si="259"/>
        <v>8241.1</v>
      </c>
      <c r="I756" s="119">
        <f t="shared" si="259"/>
        <v>8520.1999999999989</v>
      </c>
      <c r="J756" s="239"/>
      <c r="K756" s="239"/>
      <c r="L756" s="239"/>
      <c r="M756" s="239"/>
      <c r="N756" s="239"/>
      <c r="O756" s="239"/>
      <c r="P756" s="239"/>
      <c r="Q756" s="239"/>
      <c r="R756" s="239"/>
      <c r="S756" s="239"/>
      <c r="T756" s="239"/>
    </row>
    <row r="757" spans="1:20" s="82" customFormat="1" ht="25.5" x14ac:dyDescent="0.25">
      <c r="A757" s="23" t="s">
        <v>750</v>
      </c>
      <c r="B757" s="53">
        <v>913</v>
      </c>
      <c r="C757" s="48" t="s">
        <v>30</v>
      </c>
      <c r="D757" s="48" t="s">
        <v>30</v>
      </c>
      <c r="E757" s="48" t="s">
        <v>181</v>
      </c>
      <c r="F757" s="48"/>
      <c r="G757" s="119">
        <f t="shared" si="259"/>
        <v>7972.8</v>
      </c>
      <c r="H757" s="119">
        <f t="shared" si="259"/>
        <v>8241.1</v>
      </c>
      <c r="I757" s="119">
        <f t="shared" si="259"/>
        <v>8520.1999999999989</v>
      </c>
      <c r="J757" s="239"/>
      <c r="K757" s="239"/>
      <c r="L757" s="239"/>
      <c r="M757" s="239"/>
      <c r="N757" s="239"/>
      <c r="O757" s="239"/>
      <c r="P757" s="239"/>
      <c r="Q757" s="239"/>
      <c r="R757" s="239"/>
      <c r="S757" s="239"/>
      <c r="T757" s="239"/>
    </row>
    <row r="758" spans="1:20" s="82" customFormat="1" x14ac:dyDescent="0.25">
      <c r="A758" s="23" t="s">
        <v>240</v>
      </c>
      <c r="B758" s="53">
        <v>913</v>
      </c>
      <c r="C758" s="48" t="s">
        <v>30</v>
      </c>
      <c r="D758" s="48" t="s">
        <v>30</v>
      </c>
      <c r="E758" s="48" t="s">
        <v>282</v>
      </c>
      <c r="F758" s="48"/>
      <c r="G758" s="119">
        <f>G759+G760+G761</f>
        <v>7972.8</v>
      </c>
      <c r="H758" s="119">
        <f>H759+H760+H761</f>
        <v>8241.1</v>
      </c>
      <c r="I758" s="119">
        <f>I759+I760+I761</f>
        <v>8520.1999999999989</v>
      </c>
      <c r="J758" s="239"/>
      <c r="K758" s="239"/>
      <c r="L758" s="239"/>
      <c r="M758" s="239"/>
      <c r="N758" s="239"/>
      <c r="O758" s="239"/>
      <c r="P758" s="239"/>
      <c r="Q758" s="239"/>
      <c r="R758" s="239"/>
      <c r="S758" s="239"/>
      <c r="T758" s="239"/>
    </row>
    <row r="759" spans="1:20" s="82" customFormat="1" ht="38.25" x14ac:dyDescent="0.25">
      <c r="A759" s="24" t="s">
        <v>225</v>
      </c>
      <c r="B759" s="53">
        <v>913</v>
      </c>
      <c r="C759" s="48" t="s">
        <v>30</v>
      </c>
      <c r="D759" s="48" t="s">
        <v>30</v>
      </c>
      <c r="E759" s="48" t="s">
        <v>282</v>
      </c>
      <c r="F759" s="48" t="s">
        <v>66</v>
      </c>
      <c r="G759" s="119">
        <f>6363.6</f>
        <v>6363.6</v>
      </c>
      <c r="H759" s="119">
        <f>6618.2</f>
        <v>6618.2</v>
      </c>
      <c r="I759" s="119">
        <f>6882.9</f>
        <v>6882.9</v>
      </c>
      <c r="J759" s="139"/>
      <c r="K759" s="139"/>
      <c r="L759" s="139"/>
      <c r="M759" s="239"/>
      <c r="N759" s="239"/>
      <c r="O759" s="239"/>
      <c r="P759" s="239"/>
      <c r="Q759" s="239"/>
      <c r="R759" s="239"/>
      <c r="S759" s="239"/>
      <c r="T759" s="239"/>
    </row>
    <row r="760" spans="1:20" s="82" customFormat="1" ht="25.5" x14ac:dyDescent="0.25">
      <c r="A760" s="24" t="s">
        <v>226</v>
      </c>
      <c r="B760" s="53">
        <v>913</v>
      </c>
      <c r="C760" s="48" t="s">
        <v>30</v>
      </c>
      <c r="D760" s="48" t="s">
        <v>30</v>
      </c>
      <c r="E760" s="48" t="s">
        <v>282</v>
      </c>
      <c r="F760" s="48" t="s">
        <v>59</v>
      </c>
      <c r="G760" s="119">
        <f>1603.2</f>
        <v>1603.2</v>
      </c>
      <c r="H760" s="119">
        <f>1616.9</f>
        <v>1616.9</v>
      </c>
      <c r="I760" s="119">
        <f>1631.3</f>
        <v>1631.3</v>
      </c>
      <c r="J760" s="139"/>
      <c r="K760" s="139"/>
      <c r="L760" s="139"/>
      <c r="M760" s="239"/>
      <c r="N760" s="239"/>
      <c r="O760" s="239"/>
      <c r="P760" s="239"/>
      <c r="Q760" s="239"/>
      <c r="R760" s="239"/>
      <c r="S760" s="239"/>
      <c r="T760" s="239"/>
    </row>
    <row r="761" spans="1:20" s="82" customFormat="1" x14ac:dyDescent="0.25">
      <c r="A761" s="24" t="s">
        <v>95</v>
      </c>
      <c r="B761" s="53">
        <v>913</v>
      </c>
      <c r="C761" s="48" t="s">
        <v>30</v>
      </c>
      <c r="D761" s="48" t="s">
        <v>30</v>
      </c>
      <c r="E761" s="48" t="s">
        <v>282</v>
      </c>
      <c r="F761" s="48" t="s">
        <v>62</v>
      </c>
      <c r="G761" s="119">
        <f>6</f>
        <v>6</v>
      </c>
      <c r="H761" s="119">
        <f>6</f>
        <v>6</v>
      </c>
      <c r="I761" s="119">
        <f>6</f>
        <v>6</v>
      </c>
      <c r="J761" s="139"/>
      <c r="K761" s="139"/>
      <c r="L761" s="139"/>
      <c r="M761" s="239"/>
      <c r="N761" s="239"/>
      <c r="O761" s="239"/>
      <c r="P761" s="239"/>
      <c r="Q761" s="239"/>
      <c r="R761" s="239"/>
      <c r="S761" s="239"/>
      <c r="T761" s="239"/>
    </row>
    <row r="762" spans="1:20" s="82" customFormat="1" x14ac:dyDescent="0.25">
      <c r="A762" s="24" t="s">
        <v>751</v>
      </c>
      <c r="B762" s="53">
        <v>913</v>
      </c>
      <c r="C762" s="48" t="s">
        <v>30</v>
      </c>
      <c r="D762" s="48" t="s">
        <v>30</v>
      </c>
      <c r="E762" s="48" t="s">
        <v>279</v>
      </c>
      <c r="F762" s="48"/>
      <c r="G762" s="119">
        <f t="shared" ref="G762:I764" si="260">G763</f>
        <v>153.30000000000001</v>
      </c>
      <c r="H762" s="119">
        <f t="shared" si="260"/>
        <v>153.30000000000001</v>
      </c>
      <c r="I762" s="119">
        <f t="shared" si="260"/>
        <v>153.30000000000001</v>
      </c>
      <c r="J762" s="239"/>
      <c r="K762" s="239"/>
      <c r="L762" s="239"/>
      <c r="M762" s="239"/>
      <c r="N762" s="239"/>
      <c r="O762" s="239"/>
      <c r="P762" s="239"/>
      <c r="Q762" s="239"/>
      <c r="R762" s="239"/>
      <c r="S762" s="239"/>
      <c r="T762" s="239"/>
    </row>
    <row r="763" spans="1:20" s="82" customFormat="1" ht="25.5" x14ac:dyDescent="0.25">
      <c r="A763" s="24" t="s">
        <v>752</v>
      </c>
      <c r="B763" s="53">
        <v>913</v>
      </c>
      <c r="C763" s="48" t="s">
        <v>30</v>
      </c>
      <c r="D763" s="48" t="s">
        <v>30</v>
      </c>
      <c r="E763" s="48" t="s">
        <v>280</v>
      </c>
      <c r="F763" s="48"/>
      <c r="G763" s="119">
        <f t="shared" si="260"/>
        <v>153.30000000000001</v>
      </c>
      <c r="H763" s="119">
        <f t="shared" si="260"/>
        <v>153.30000000000001</v>
      </c>
      <c r="I763" s="119">
        <f t="shared" si="260"/>
        <v>153.30000000000001</v>
      </c>
      <c r="J763" s="239"/>
      <c r="K763" s="239"/>
      <c r="L763" s="239"/>
      <c r="M763" s="239"/>
      <c r="N763" s="239"/>
      <c r="O763" s="239"/>
      <c r="P763" s="239"/>
      <c r="Q763" s="239"/>
      <c r="R763" s="239"/>
      <c r="S763" s="239"/>
      <c r="T763" s="239"/>
    </row>
    <row r="764" spans="1:20" s="82" customFormat="1" ht="25.5" x14ac:dyDescent="0.25">
      <c r="A764" s="24" t="s">
        <v>175</v>
      </c>
      <c r="B764" s="53">
        <v>913</v>
      </c>
      <c r="C764" s="48" t="s">
        <v>30</v>
      </c>
      <c r="D764" s="48" t="s">
        <v>30</v>
      </c>
      <c r="E764" s="48" t="s">
        <v>281</v>
      </c>
      <c r="F764" s="48"/>
      <c r="G764" s="119">
        <f t="shared" si="260"/>
        <v>153.30000000000001</v>
      </c>
      <c r="H764" s="119">
        <f t="shared" si="260"/>
        <v>153.30000000000001</v>
      </c>
      <c r="I764" s="119">
        <f t="shared" si="260"/>
        <v>153.30000000000001</v>
      </c>
      <c r="J764" s="239"/>
      <c r="K764" s="239"/>
      <c r="L764" s="239"/>
      <c r="M764" s="239"/>
      <c r="N764" s="239"/>
      <c r="O764" s="239"/>
      <c r="P764" s="239"/>
      <c r="Q764" s="239"/>
      <c r="R764" s="239"/>
      <c r="S764" s="239"/>
      <c r="T764" s="239"/>
    </row>
    <row r="765" spans="1:20" s="82" customFormat="1" ht="25.5" x14ac:dyDescent="0.25">
      <c r="A765" s="24" t="s">
        <v>226</v>
      </c>
      <c r="B765" s="53">
        <v>913</v>
      </c>
      <c r="C765" s="48" t="s">
        <v>30</v>
      </c>
      <c r="D765" s="48" t="s">
        <v>30</v>
      </c>
      <c r="E765" s="48" t="s">
        <v>281</v>
      </c>
      <c r="F765" s="48" t="s">
        <v>59</v>
      </c>
      <c r="G765" s="119">
        <v>153.30000000000001</v>
      </c>
      <c r="H765" s="119">
        <v>153.30000000000001</v>
      </c>
      <c r="I765" s="119">
        <v>153.30000000000001</v>
      </c>
      <c r="J765" s="239"/>
      <c r="K765" s="239"/>
      <c r="L765" s="239"/>
      <c r="M765" s="239"/>
      <c r="N765" s="239"/>
      <c r="O765" s="239"/>
      <c r="P765" s="239"/>
      <c r="Q765" s="239"/>
      <c r="R765" s="239"/>
      <c r="S765" s="239"/>
      <c r="T765" s="239"/>
    </row>
    <row r="766" spans="1:20" s="82" customFormat="1" x14ac:dyDescent="0.25">
      <c r="A766" s="24" t="s">
        <v>14</v>
      </c>
      <c r="B766" s="53">
        <v>913</v>
      </c>
      <c r="C766" s="48" t="s">
        <v>30</v>
      </c>
      <c r="D766" s="48" t="s">
        <v>34</v>
      </c>
      <c r="E766" s="48"/>
      <c r="F766" s="48"/>
      <c r="G766" s="119">
        <f>G767</f>
        <v>3712</v>
      </c>
      <c r="H766" s="119">
        <f t="shared" ref="H766:I767" si="261">H767</f>
        <v>3859.3</v>
      </c>
      <c r="I766" s="119">
        <f t="shared" si="261"/>
        <v>4012.4</v>
      </c>
      <c r="J766" s="239"/>
      <c r="K766" s="239"/>
      <c r="L766" s="239"/>
      <c r="M766" s="239"/>
      <c r="N766" s="239"/>
      <c r="O766" s="239"/>
      <c r="P766" s="239"/>
      <c r="Q766" s="239"/>
      <c r="R766" s="239"/>
      <c r="S766" s="239"/>
      <c r="T766" s="239"/>
    </row>
    <row r="767" spans="1:20" s="82" customFormat="1" ht="25.5" x14ac:dyDescent="0.25">
      <c r="A767" s="24" t="s">
        <v>99</v>
      </c>
      <c r="B767" s="53">
        <v>913</v>
      </c>
      <c r="C767" s="48" t="s">
        <v>30</v>
      </c>
      <c r="D767" s="48" t="s">
        <v>34</v>
      </c>
      <c r="E767" s="48" t="s">
        <v>101</v>
      </c>
      <c r="F767" s="48"/>
      <c r="G767" s="119">
        <f>G768</f>
        <v>3712</v>
      </c>
      <c r="H767" s="119">
        <f t="shared" si="261"/>
        <v>3859.3</v>
      </c>
      <c r="I767" s="119">
        <f t="shared" si="261"/>
        <v>4012.4</v>
      </c>
      <c r="J767" s="207"/>
      <c r="K767" s="206"/>
      <c r="L767" s="206"/>
      <c r="M767" s="239"/>
      <c r="N767" s="239"/>
      <c r="O767" s="239"/>
      <c r="P767" s="239"/>
      <c r="Q767" s="239"/>
      <c r="R767" s="239"/>
      <c r="S767" s="239"/>
      <c r="T767" s="239"/>
    </row>
    <row r="768" spans="1:20" s="82" customFormat="1" ht="38.25" x14ac:dyDescent="0.25">
      <c r="A768" s="24" t="s">
        <v>148</v>
      </c>
      <c r="B768" s="53">
        <v>913</v>
      </c>
      <c r="C768" s="48" t="s">
        <v>30</v>
      </c>
      <c r="D768" s="48" t="s">
        <v>34</v>
      </c>
      <c r="E768" s="48" t="s">
        <v>860</v>
      </c>
      <c r="F768" s="48"/>
      <c r="G768" s="119">
        <f>G769+G770</f>
        <v>3712</v>
      </c>
      <c r="H768" s="119">
        <f>H769+H770</f>
        <v>3859.3</v>
      </c>
      <c r="I768" s="119">
        <f>I769+I770</f>
        <v>4012.4</v>
      </c>
      <c r="J768" s="184"/>
      <c r="K768" s="184"/>
      <c r="L768" s="184"/>
      <c r="M768" s="239"/>
      <c r="N768" s="239"/>
      <c r="O768" s="239"/>
      <c r="P768" s="239"/>
      <c r="Q768" s="239"/>
      <c r="R768" s="239"/>
      <c r="S768" s="239"/>
      <c r="T768" s="239"/>
    </row>
    <row r="769" spans="1:20" s="82" customFormat="1" ht="38.25" x14ac:dyDescent="0.25">
      <c r="A769" s="24" t="s">
        <v>225</v>
      </c>
      <c r="B769" s="53">
        <v>913</v>
      </c>
      <c r="C769" s="48" t="s">
        <v>30</v>
      </c>
      <c r="D769" s="48" t="s">
        <v>34</v>
      </c>
      <c r="E769" s="48" t="s">
        <v>860</v>
      </c>
      <c r="F769" s="48" t="s">
        <v>66</v>
      </c>
      <c r="G769" s="119">
        <v>3678</v>
      </c>
      <c r="H769" s="119">
        <v>3825.3</v>
      </c>
      <c r="I769" s="119">
        <v>3978.4</v>
      </c>
      <c r="J769" s="239"/>
      <c r="K769" s="239"/>
      <c r="L769" s="239"/>
      <c r="M769" s="239"/>
      <c r="N769" s="239"/>
      <c r="O769" s="239"/>
      <c r="P769" s="239"/>
      <c r="Q769" s="239"/>
      <c r="R769" s="239"/>
      <c r="S769" s="239"/>
      <c r="T769" s="239"/>
    </row>
    <row r="770" spans="1:20" s="82" customFormat="1" ht="25.5" x14ac:dyDescent="0.25">
      <c r="A770" s="24" t="s">
        <v>226</v>
      </c>
      <c r="B770" s="53">
        <v>913</v>
      </c>
      <c r="C770" s="48" t="s">
        <v>30</v>
      </c>
      <c r="D770" s="48" t="s">
        <v>34</v>
      </c>
      <c r="E770" s="48" t="s">
        <v>860</v>
      </c>
      <c r="F770" s="48" t="s">
        <v>59</v>
      </c>
      <c r="G770" s="119">
        <v>34</v>
      </c>
      <c r="H770" s="119">
        <v>34</v>
      </c>
      <c r="I770" s="119">
        <v>34</v>
      </c>
      <c r="J770" s="207"/>
      <c r="K770" s="206"/>
      <c r="L770" s="206"/>
      <c r="M770" s="239"/>
      <c r="N770" s="239"/>
      <c r="O770" s="239"/>
      <c r="P770" s="239"/>
      <c r="Q770" s="239"/>
      <c r="R770" s="239"/>
      <c r="S770" s="239"/>
      <c r="T770" s="239"/>
    </row>
    <row r="771" spans="1:20" s="82" customFormat="1" x14ac:dyDescent="0.25">
      <c r="A771" s="24" t="s">
        <v>284</v>
      </c>
      <c r="B771" s="53">
        <v>913</v>
      </c>
      <c r="C771" s="48" t="s">
        <v>31</v>
      </c>
      <c r="D771" s="48"/>
      <c r="E771" s="48"/>
      <c r="F771" s="48"/>
      <c r="G771" s="119">
        <f t="shared" ref="G771:I779" si="262">G772</f>
        <v>6250</v>
      </c>
      <c r="H771" s="119">
        <f t="shared" si="262"/>
        <v>250</v>
      </c>
      <c r="I771" s="119">
        <f t="shared" si="262"/>
        <v>250</v>
      </c>
      <c r="J771" s="239"/>
      <c r="K771" s="239"/>
      <c r="L771" s="239"/>
      <c r="M771" s="239"/>
      <c r="N771" s="239"/>
      <c r="O771" s="239"/>
      <c r="P771" s="239"/>
      <c r="Q771" s="239"/>
      <c r="R771" s="239"/>
      <c r="S771" s="239"/>
      <c r="T771" s="239"/>
    </row>
    <row r="772" spans="1:20" s="82" customFormat="1" x14ac:dyDescent="0.25">
      <c r="A772" s="24" t="s">
        <v>285</v>
      </c>
      <c r="B772" s="53">
        <v>913</v>
      </c>
      <c r="C772" s="48" t="s">
        <v>31</v>
      </c>
      <c r="D772" s="48" t="s">
        <v>26</v>
      </c>
      <c r="E772" s="48"/>
      <c r="F772" s="48"/>
      <c r="G772" s="119">
        <f t="shared" si="262"/>
        <v>6250</v>
      </c>
      <c r="H772" s="119">
        <f t="shared" si="262"/>
        <v>250</v>
      </c>
      <c r="I772" s="119">
        <f t="shared" si="262"/>
        <v>250</v>
      </c>
      <c r="J772" s="239"/>
      <c r="K772" s="239"/>
      <c r="L772" s="239"/>
      <c r="M772" s="239"/>
      <c r="N772" s="239"/>
      <c r="O772" s="239"/>
      <c r="P772" s="239"/>
      <c r="Q772" s="239"/>
      <c r="R772" s="239"/>
      <c r="S772" s="239"/>
      <c r="T772" s="239"/>
    </row>
    <row r="773" spans="1:20" s="82" customFormat="1" ht="25.5" x14ac:dyDescent="0.25">
      <c r="A773" s="24" t="s">
        <v>494</v>
      </c>
      <c r="B773" s="53">
        <v>913</v>
      </c>
      <c r="C773" s="48" t="s">
        <v>31</v>
      </c>
      <c r="D773" s="48" t="s">
        <v>26</v>
      </c>
      <c r="E773" s="48" t="s">
        <v>119</v>
      </c>
      <c r="F773" s="48"/>
      <c r="G773" s="119">
        <f t="shared" si="262"/>
        <v>6250</v>
      </c>
      <c r="H773" s="119">
        <f t="shared" si="262"/>
        <v>250</v>
      </c>
      <c r="I773" s="119">
        <f t="shared" si="262"/>
        <v>250</v>
      </c>
      <c r="J773" s="239"/>
      <c r="K773" s="239"/>
      <c r="L773" s="239"/>
      <c r="M773" s="239"/>
      <c r="N773" s="239"/>
      <c r="O773" s="239"/>
      <c r="P773" s="239"/>
      <c r="Q773" s="239"/>
      <c r="R773" s="239"/>
      <c r="S773" s="239"/>
      <c r="T773" s="239"/>
    </row>
    <row r="774" spans="1:20" s="82" customFormat="1" x14ac:dyDescent="0.25">
      <c r="A774" s="24" t="s">
        <v>755</v>
      </c>
      <c r="B774" s="53">
        <v>913</v>
      </c>
      <c r="C774" s="48" t="s">
        <v>31</v>
      </c>
      <c r="D774" s="48" t="s">
        <v>26</v>
      </c>
      <c r="E774" s="48" t="s">
        <v>495</v>
      </c>
      <c r="F774" s="48"/>
      <c r="G774" s="119">
        <f>G778+G775</f>
        <v>6250</v>
      </c>
      <c r="H774" s="119">
        <f t="shared" ref="H774:I774" si="263">H778+H775</f>
        <v>250</v>
      </c>
      <c r="I774" s="119">
        <f t="shared" si="263"/>
        <v>250</v>
      </c>
      <c r="J774" s="239"/>
      <c r="K774" s="239"/>
      <c r="L774" s="239"/>
      <c r="M774" s="239"/>
      <c r="N774" s="239"/>
      <c r="O774" s="239"/>
      <c r="P774" s="239"/>
      <c r="Q774" s="239"/>
      <c r="R774" s="239"/>
      <c r="S774" s="239"/>
      <c r="T774" s="239"/>
    </row>
    <row r="775" spans="1:20" s="82" customFormat="1" ht="38.25" x14ac:dyDescent="0.25">
      <c r="A775" s="24" t="s">
        <v>789</v>
      </c>
      <c r="B775" s="53">
        <v>905</v>
      </c>
      <c r="C775" s="48" t="s">
        <v>31</v>
      </c>
      <c r="D775" s="48" t="s">
        <v>26</v>
      </c>
      <c r="E775" s="48" t="s">
        <v>536</v>
      </c>
      <c r="F775" s="48"/>
      <c r="G775" s="119">
        <f>G776</f>
        <v>6000</v>
      </c>
      <c r="H775" s="119">
        <f t="shared" ref="H775:I775" si="264">H776</f>
        <v>0</v>
      </c>
      <c r="I775" s="119">
        <f t="shared" si="264"/>
        <v>0</v>
      </c>
      <c r="J775" s="239"/>
      <c r="K775" s="239"/>
      <c r="L775" s="239"/>
      <c r="M775" s="239"/>
      <c r="N775" s="239"/>
      <c r="O775" s="239"/>
      <c r="P775" s="239"/>
      <c r="Q775" s="239"/>
      <c r="R775" s="239"/>
      <c r="S775" s="239"/>
      <c r="T775" s="239"/>
    </row>
    <row r="776" spans="1:20" s="82" customFormat="1" ht="63.75" x14ac:dyDescent="0.25">
      <c r="A776" s="24" t="s">
        <v>952</v>
      </c>
      <c r="B776" s="53">
        <v>913</v>
      </c>
      <c r="C776" s="48" t="s">
        <v>31</v>
      </c>
      <c r="D776" s="48" t="s">
        <v>26</v>
      </c>
      <c r="E776" s="48" t="s">
        <v>951</v>
      </c>
      <c r="F776" s="48"/>
      <c r="G776" s="119">
        <f>G777</f>
        <v>6000</v>
      </c>
      <c r="H776" s="119">
        <f t="shared" ref="H776" si="265">H777</f>
        <v>0</v>
      </c>
      <c r="I776" s="119">
        <f t="shared" ref="I776" si="266">I777</f>
        <v>0</v>
      </c>
      <c r="J776" s="144"/>
      <c r="K776" s="239"/>
      <c r="L776" s="239"/>
      <c r="M776" s="239"/>
      <c r="N776" s="239"/>
      <c r="O776" s="239"/>
      <c r="P776" s="239"/>
      <c r="Q776" s="239"/>
      <c r="R776" s="239"/>
      <c r="S776" s="239"/>
      <c r="T776" s="239"/>
    </row>
    <row r="777" spans="1:20" s="82" customFormat="1" ht="25.5" x14ac:dyDescent="0.25">
      <c r="A777" s="24" t="s">
        <v>64</v>
      </c>
      <c r="B777" s="53">
        <v>913</v>
      </c>
      <c r="C777" s="48" t="s">
        <v>31</v>
      </c>
      <c r="D777" s="48" t="s">
        <v>26</v>
      </c>
      <c r="E777" s="48" t="s">
        <v>951</v>
      </c>
      <c r="F777" s="48" t="s">
        <v>65</v>
      </c>
      <c r="G777" s="119">
        <v>6000</v>
      </c>
      <c r="H777" s="119">
        <v>0</v>
      </c>
      <c r="I777" s="119">
        <v>0</v>
      </c>
      <c r="J777" s="144"/>
      <c r="K777" s="239"/>
      <c r="L777" s="239"/>
      <c r="M777" s="239"/>
      <c r="N777" s="239"/>
      <c r="O777" s="239"/>
      <c r="P777" s="239"/>
      <c r="Q777" s="239"/>
      <c r="R777" s="239"/>
      <c r="S777" s="239"/>
      <c r="T777" s="239"/>
    </row>
    <row r="778" spans="1:20" s="82" customFormat="1" ht="38.25" x14ac:dyDescent="0.25">
      <c r="A778" s="24" t="s">
        <v>825</v>
      </c>
      <c r="B778" s="53">
        <v>913</v>
      </c>
      <c r="C778" s="48" t="s">
        <v>31</v>
      </c>
      <c r="D778" s="48" t="s">
        <v>26</v>
      </c>
      <c r="E778" s="48" t="s">
        <v>496</v>
      </c>
      <c r="F778" s="48"/>
      <c r="G778" s="119">
        <f t="shared" si="262"/>
        <v>250</v>
      </c>
      <c r="H778" s="119">
        <f t="shared" si="262"/>
        <v>250</v>
      </c>
      <c r="I778" s="119">
        <f t="shared" si="262"/>
        <v>250</v>
      </c>
      <c r="J778" s="239"/>
      <c r="K778" s="239"/>
      <c r="L778" s="239"/>
      <c r="M778" s="239"/>
      <c r="N778" s="239"/>
      <c r="O778" s="239"/>
      <c r="P778" s="239"/>
      <c r="Q778" s="239"/>
      <c r="R778" s="239"/>
      <c r="S778" s="239"/>
      <c r="T778" s="239"/>
    </row>
    <row r="779" spans="1:20" s="82" customFormat="1" ht="25.5" x14ac:dyDescent="0.25">
      <c r="A779" s="24" t="s">
        <v>308</v>
      </c>
      <c r="B779" s="53">
        <v>913</v>
      </c>
      <c r="C779" s="48" t="s">
        <v>31</v>
      </c>
      <c r="D779" s="48" t="s">
        <v>26</v>
      </c>
      <c r="E779" s="48" t="s">
        <v>497</v>
      </c>
      <c r="F779" s="48"/>
      <c r="G779" s="119">
        <f>G780</f>
        <v>250</v>
      </c>
      <c r="H779" s="119">
        <f>H780</f>
        <v>250</v>
      </c>
      <c r="I779" s="119">
        <f t="shared" si="262"/>
        <v>250</v>
      </c>
      <c r="J779" s="239"/>
      <c r="K779" s="239"/>
      <c r="L779" s="239"/>
      <c r="M779" s="239"/>
      <c r="N779" s="239"/>
      <c r="O779" s="239"/>
      <c r="P779" s="239"/>
      <c r="Q779" s="239"/>
      <c r="R779" s="239"/>
      <c r="S779" s="239"/>
      <c r="T779" s="239"/>
    </row>
    <row r="780" spans="1:20" s="82" customFormat="1" ht="25.5" x14ac:dyDescent="0.25">
      <c r="A780" s="24" t="s">
        <v>64</v>
      </c>
      <c r="B780" s="53">
        <v>913</v>
      </c>
      <c r="C780" s="48" t="s">
        <v>31</v>
      </c>
      <c r="D780" s="48" t="s">
        <v>26</v>
      </c>
      <c r="E780" s="48" t="s">
        <v>497</v>
      </c>
      <c r="F780" s="48" t="s">
        <v>65</v>
      </c>
      <c r="G780" s="119">
        <v>250</v>
      </c>
      <c r="H780" s="119">
        <v>250</v>
      </c>
      <c r="I780" s="119">
        <v>250</v>
      </c>
      <c r="J780" s="239"/>
      <c r="K780" s="239"/>
      <c r="L780" s="239"/>
      <c r="M780" s="239"/>
      <c r="N780" s="239"/>
      <c r="O780" s="239"/>
      <c r="P780" s="239"/>
      <c r="Q780" s="239"/>
      <c r="R780" s="239"/>
      <c r="S780" s="239"/>
      <c r="T780" s="239"/>
    </row>
    <row r="781" spans="1:20" s="82" customFormat="1" x14ac:dyDescent="0.25">
      <c r="A781" s="24" t="s">
        <v>9</v>
      </c>
      <c r="B781" s="53">
        <v>913</v>
      </c>
      <c r="C781" s="48" t="s">
        <v>33</v>
      </c>
      <c r="D781" s="48"/>
      <c r="E781" s="48"/>
      <c r="F781" s="48"/>
      <c r="G781" s="119">
        <f>G782+G787</f>
        <v>139355</v>
      </c>
      <c r="H781" s="119">
        <f t="shared" ref="H781:I781" si="267">H782+H787</f>
        <v>186005.5</v>
      </c>
      <c r="I781" s="119">
        <f t="shared" si="267"/>
        <v>218447.30000000002</v>
      </c>
      <c r="J781" s="239"/>
      <c r="K781" s="239"/>
      <c r="L781" s="239"/>
      <c r="M781" s="239"/>
      <c r="N781" s="239"/>
      <c r="O781" s="239"/>
      <c r="P781" s="239"/>
      <c r="Q781" s="239"/>
      <c r="R781" s="239"/>
      <c r="S781" s="239"/>
      <c r="T781" s="239"/>
    </row>
    <row r="782" spans="1:20" s="82" customFormat="1" x14ac:dyDescent="0.25">
      <c r="A782" s="24" t="s">
        <v>19</v>
      </c>
      <c r="B782" s="53">
        <v>913</v>
      </c>
      <c r="C782" s="48" t="s">
        <v>33</v>
      </c>
      <c r="D782" s="48" t="s">
        <v>26</v>
      </c>
      <c r="E782" s="48"/>
      <c r="F782" s="48"/>
      <c r="G782" s="119">
        <f t="shared" ref="G782:I783" si="268">G783</f>
        <v>30018</v>
      </c>
      <c r="H782" s="119">
        <f t="shared" si="268"/>
        <v>31161.7</v>
      </c>
      <c r="I782" s="119">
        <f t="shared" si="268"/>
        <v>32404.2</v>
      </c>
      <c r="J782" s="239"/>
      <c r="K782" s="239"/>
      <c r="L782" s="239"/>
      <c r="M782" s="239"/>
      <c r="N782" s="239"/>
      <c r="O782" s="239"/>
      <c r="P782" s="239"/>
      <c r="Q782" s="239"/>
      <c r="R782" s="239"/>
      <c r="S782" s="239"/>
      <c r="T782" s="239"/>
    </row>
    <row r="783" spans="1:20" s="82" customFormat="1" ht="31.5" customHeight="1" x14ac:dyDescent="0.25">
      <c r="A783" s="24" t="s">
        <v>82</v>
      </c>
      <c r="B783" s="53">
        <v>913</v>
      </c>
      <c r="C783" s="48" t="s">
        <v>33</v>
      </c>
      <c r="D783" s="48" t="s">
        <v>26</v>
      </c>
      <c r="E783" s="48" t="s">
        <v>105</v>
      </c>
      <c r="F783" s="48"/>
      <c r="G783" s="119">
        <f t="shared" si="268"/>
        <v>30018</v>
      </c>
      <c r="H783" s="119">
        <f t="shared" si="268"/>
        <v>31161.7</v>
      </c>
      <c r="I783" s="119">
        <f t="shared" si="268"/>
        <v>32404.2</v>
      </c>
      <c r="J783" s="239"/>
      <c r="K783" s="239"/>
      <c r="L783" s="239"/>
      <c r="M783" s="239"/>
      <c r="N783" s="239"/>
      <c r="O783" s="239"/>
      <c r="P783" s="239"/>
      <c r="Q783" s="239"/>
      <c r="R783" s="239"/>
      <c r="S783" s="239"/>
      <c r="T783" s="239"/>
    </row>
    <row r="784" spans="1:20" s="82" customFormat="1" x14ac:dyDescent="0.25">
      <c r="A784" s="23" t="s">
        <v>149</v>
      </c>
      <c r="B784" s="53">
        <v>913</v>
      </c>
      <c r="C784" s="48" t="s">
        <v>33</v>
      </c>
      <c r="D784" s="48" t="s">
        <v>26</v>
      </c>
      <c r="E784" s="48" t="s">
        <v>286</v>
      </c>
      <c r="F784" s="48"/>
      <c r="G784" s="119">
        <f>G785+G786</f>
        <v>30018</v>
      </c>
      <c r="H784" s="119">
        <f>H785+H786</f>
        <v>31161.7</v>
      </c>
      <c r="I784" s="119">
        <f>I785+I786</f>
        <v>32404.2</v>
      </c>
      <c r="J784" s="239"/>
      <c r="K784" s="239"/>
      <c r="L784" s="239"/>
      <c r="M784" s="239"/>
      <c r="N784" s="239"/>
      <c r="O784" s="239"/>
      <c r="P784" s="239"/>
      <c r="Q784" s="239"/>
      <c r="R784" s="239"/>
      <c r="S784" s="239"/>
      <c r="T784" s="239"/>
    </row>
    <row r="785" spans="1:20" s="82" customFormat="1" ht="25.5" x14ac:dyDescent="0.25">
      <c r="A785" s="24" t="s">
        <v>226</v>
      </c>
      <c r="B785" s="53">
        <v>913</v>
      </c>
      <c r="C785" s="48" t="s">
        <v>33</v>
      </c>
      <c r="D785" s="48" t="s">
        <v>26</v>
      </c>
      <c r="E785" s="48" t="s">
        <v>286</v>
      </c>
      <c r="F785" s="48" t="s">
        <v>59</v>
      </c>
      <c r="G785" s="119">
        <f>100+50</f>
        <v>150</v>
      </c>
      <c r="H785" s="119">
        <v>100</v>
      </c>
      <c r="I785" s="119">
        <v>100</v>
      </c>
      <c r="J785" s="239"/>
      <c r="K785" s="239"/>
      <c r="L785" s="239"/>
      <c r="M785" s="239"/>
      <c r="N785" s="239"/>
      <c r="O785" s="239"/>
      <c r="P785" s="239"/>
      <c r="Q785" s="239"/>
      <c r="R785" s="239"/>
      <c r="S785" s="239"/>
      <c r="T785" s="239"/>
    </row>
    <row r="786" spans="1:20" s="82" customFormat="1" x14ac:dyDescent="0.25">
      <c r="A786" s="28" t="s">
        <v>85</v>
      </c>
      <c r="B786" s="53">
        <v>913</v>
      </c>
      <c r="C786" s="48" t="s">
        <v>33</v>
      </c>
      <c r="D786" s="48" t="s">
        <v>26</v>
      </c>
      <c r="E786" s="48" t="s">
        <v>286</v>
      </c>
      <c r="F786" s="48" t="s">
        <v>86</v>
      </c>
      <c r="G786" s="119">
        <v>29868</v>
      </c>
      <c r="H786" s="119">
        <v>31061.7</v>
      </c>
      <c r="I786" s="119">
        <v>32304.2</v>
      </c>
      <c r="J786" s="239"/>
      <c r="K786" s="239"/>
      <c r="L786" s="239"/>
      <c r="M786" s="239"/>
      <c r="N786" s="239"/>
      <c r="O786" s="239"/>
      <c r="P786" s="239"/>
      <c r="Q786" s="239"/>
      <c r="R786" s="239"/>
      <c r="S786" s="239"/>
      <c r="T786" s="239"/>
    </row>
    <row r="787" spans="1:20" s="82" customFormat="1" x14ac:dyDescent="0.25">
      <c r="A787" s="24" t="s">
        <v>10</v>
      </c>
      <c r="B787" s="53">
        <v>913</v>
      </c>
      <c r="C787" s="48" t="s">
        <v>33</v>
      </c>
      <c r="D787" s="48" t="s">
        <v>28</v>
      </c>
      <c r="E787" s="48"/>
      <c r="F787" s="48"/>
      <c r="G787" s="119">
        <f>G788+G814+G819</f>
        <v>109337</v>
      </c>
      <c r="H787" s="119">
        <f t="shared" ref="H787:I787" si="269">H788+H814+H819</f>
        <v>154843.79999999999</v>
      </c>
      <c r="I787" s="119">
        <f t="shared" si="269"/>
        <v>186043.1</v>
      </c>
      <c r="J787" s="239"/>
      <c r="K787" s="239"/>
      <c r="L787" s="239"/>
      <c r="M787" s="239"/>
      <c r="N787" s="239"/>
      <c r="O787" s="239"/>
      <c r="P787" s="239"/>
      <c r="Q787" s="239"/>
      <c r="R787" s="239"/>
      <c r="S787" s="239"/>
      <c r="T787" s="239"/>
    </row>
    <row r="788" spans="1:20" s="82" customFormat="1" ht="25.5" x14ac:dyDescent="0.25">
      <c r="A788" s="24" t="s">
        <v>498</v>
      </c>
      <c r="B788" s="53">
        <v>913</v>
      </c>
      <c r="C788" s="48" t="s">
        <v>33</v>
      </c>
      <c r="D788" s="48" t="s">
        <v>28</v>
      </c>
      <c r="E788" s="48" t="s">
        <v>499</v>
      </c>
      <c r="F788" s="48"/>
      <c r="G788" s="119">
        <f>G789+G810</f>
        <v>107635</v>
      </c>
      <c r="H788" s="119">
        <f>H789+H810</f>
        <v>153690</v>
      </c>
      <c r="I788" s="119">
        <f>I789+I810</f>
        <v>184800</v>
      </c>
      <c r="J788" s="239"/>
      <c r="K788" s="239"/>
      <c r="L788" s="239"/>
      <c r="M788" s="239"/>
      <c r="N788" s="239"/>
      <c r="O788" s="239"/>
      <c r="P788" s="239"/>
      <c r="Q788" s="239"/>
      <c r="R788" s="239"/>
      <c r="S788" s="239"/>
      <c r="T788" s="239"/>
    </row>
    <row r="789" spans="1:20" s="82" customFormat="1" x14ac:dyDescent="0.25">
      <c r="A789" s="24" t="s">
        <v>774</v>
      </c>
      <c r="B789" s="53">
        <v>913</v>
      </c>
      <c r="C789" s="48" t="s">
        <v>33</v>
      </c>
      <c r="D789" s="48" t="s">
        <v>28</v>
      </c>
      <c r="E789" s="48" t="s">
        <v>500</v>
      </c>
      <c r="F789" s="48"/>
      <c r="G789" s="119">
        <f>G790+G805</f>
        <v>107485</v>
      </c>
      <c r="H789" s="119">
        <f>H790+H805</f>
        <v>153640</v>
      </c>
      <c r="I789" s="119">
        <f>I790+I805</f>
        <v>184750</v>
      </c>
      <c r="J789" s="239"/>
      <c r="K789" s="239"/>
      <c r="L789" s="239"/>
      <c r="M789" s="239"/>
      <c r="N789" s="239"/>
      <c r="O789" s="239"/>
      <c r="P789" s="239"/>
      <c r="Q789" s="239"/>
      <c r="R789" s="239"/>
      <c r="S789" s="239"/>
      <c r="T789" s="239"/>
    </row>
    <row r="790" spans="1:20" s="82" customFormat="1" ht="24" customHeight="1" x14ac:dyDescent="0.25">
      <c r="A790" s="24" t="s">
        <v>826</v>
      </c>
      <c r="B790" s="53">
        <v>913</v>
      </c>
      <c r="C790" s="48" t="s">
        <v>33</v>
      </c>
      <c r="D790" s="48" t="s">
        <v>28</v>
      </c>
      <c r="E790" s="48" t="s">
        <v>501</v>
      </c>
      <c r="F790" s="48"/>
      <c r="G790" s="119">
        <f>G791+G793+G795+G797+G799+G801+G803</f>
        <v>107085</v>
      </c>
      <c r="H790" s="119">
        <f t="shared" ref="H790:I790" si="270">H791+H793+H795+H797+H799+H801+H803</f>
        <v>153140</v>
      </c>
      <c r="I790" s="119">
        <f t="shared" si="270"/>
        <v>184250</v>
      </c>
      <c r="J790" s="239"/>
      <c r="K790" s="239"/>
      <c r="L790" s="239"/>
      <c r="M790" s="239"/>
      <c r="N790" s="239"/>
      <c r="O790" s="239"/>
      <c r="P790" s="239"/>
      <c r="Q790" s="239"/>
      <c r="R790" s="239"/>
      <c r="S790" s="239"/>
      <c r="T790" s="239"/>
    </row>
    <row r="791" spans="1:20" s="82" customFormat="1" ht="25.5" x14ac:dyDescent="0.25">
      <c r="A791" s="24" t="s">
        <v>170</v>
      </c>
      <c r="B791" s="53">
        <v>913</v>
      </c>
      <c r="C791" s="48" t="s">
        <v>33</v>
      </c>
      <c r="D791" s="48" t="s">
        <v>28</v>
      </c>
      <c r="E791" s="48" t="s">
        <v>502</v>
      </c>
      <c r="F791" s="48"/>
      <c r="G791" s="119">
        <f>G792</f>
        <v>380</v>
      </c>
      <c r="H791" s="119">
        <f>H792</f>
        <v>380</v>
      </c>
      <c r="I791" s="119">
        <f>I792</f>
        <v>380</v>
      </c>
      <c r="J791" s="239"/>
      <c r="K791" s="239"/>
      <c r="L791" s="239"/>
      <c r="M791" s="239"/>
      <c r="N791" s="239"/>
      <c r="O791" s="239"/>
      <c r="P791" s="239"/>
      <c r="Q791" s="239"/>
      <c r="R791" s="239"/>
      <c r="S791" s="239"/>
      <c r="T791" s="239"/>
    </row>
    <row r="792" spans="1:20" s="82" customFormat="1" x14ac:dyDescent="0.25">
      <c r="A792" s="28" t="s">
        <v>85</v>
      </c>
      <c r="B792" s="53">
        <v>913</v>
      </c>
      <c r="C792" s="48" t="s">
        <v>33</v>
      </c>
      <c r="D792" s="48" t="s">
        <v>28</v>
      </c>
      <c r="E792" s="48" t="s">
        <v>502</v>
      </c>
      <c r="F792" s="48" t="s">
        <v>86</v>
      </c>
      <c r="G792" s="119">
        <v>380</v>
      </c>
      <c r="H792" s="119">
        <v>380</v>
      </c>
      <c r="I792" s="119">
        <v>380</v>
      </c>
      <c r="J792" s="27"/>
      <c r="K792" s="239"/>
      <c r="L792" s="239"/>
      <c r="M792" s="239"/>
      <c r="N792" s="239"/>
      <c r="O792" s="239"/>
      <c r="P792" s="239"/>
      <c r="Q792" s="239"/>
      <c r="R792" s="239"/>
      <c r="S792" s="239"/>
      <c r="T792" s="239"/>
    </row>
    <row r="793" spans="1:20" s="82" customFormat="1" ht="25.5" x14ac:dyDescent="0.25">
      <c r="A793" s="24" t="s">
        <v>171</v>
      </c>
      <c r="B793" s="53">
        <v>913</v>
      </c>
      <c r="C793" s="48" t="s">
        <v>33</v>
      </c>
      <c r="D793" s="48" t="s">
        <v>28</v>
      </c>
      <c r="E793" s="48" t="s">
        <v>503</v>
      </c>
      <c r="F793" s="48"/>
      <c r="G793" s="119">
        <f>G794</f>
        <v>30</v>
      </c>
      <c r="H793" s="119">
        <f>H794</f>
        <v>30</v>
      </c>
      <c r="I793" s="119">
        <f>I794</f>
        <v>30</v>
      </c>
      <c r="J793" s="239"/>
      <c r="K793" s="239"/>
      <c r="L793" s="239"/>
      <c r="M793" s="239"/>
      <c r="N793" s="239"/>
      <c r="O793" s="239"/>
      <c r="P793" s="239"/>
      <c r="Q793" s="239"/>
      <c r="R793" s="239"/>
      <c r="S793" s="239"/>
      <c r="T793" s="239"/>
    </row>
    <row r="794" spans="1:20" s="82" customFormat="1" x14ac:dyDescent="0.25">
      <c r="A794" s="28" t="s">
        <v>85</v>
      </c>
      <c r="B794" s="53">
        <v>913</v>
      </c>
      <c r="C794" s="48" t="s">
        <v>33</v>
      </c>
      <c r="D794" s="48" t="s">
        <v>28</v>
      </c>
      <c r="E794" s="48" t="s">
        <v>503</v>
      </c>
      <c r="F794" s="48" t="s">
        <v>86</v>
      </c>
      <c r="G794" s="119">
        <v>30</v>
      </c>
      <c r="H794" s="119">
        <v>30</v>
      </c>
      <c r="I794" s="119">
        <v>30</v>
      </c>
      <c r="J794" s="239"/>
      <c r="K794" s="239"/>
      <c r="L794" s="239"/>
      <c r="M794" s="239"/>
      <c r="N794" s="239"/>
      <c r="O794" s="239"/>
      <c r="P794" s="239"/>
      <c r="Q794" s="239"/>
      <c r="R794" s="239"/>
      <c r="S794" s="239"/>
      <c r="T794" s="239"/>
    </row>
    <row r="795" spans="1:20" s="82" customFormat="1" ht="38.25" x14ac:dyDescent="0.25">
      <c r="A795" s="24" t="s">
        <v>172</v>
      </c>
      <c r="B795" s="53">
        <v>913</v>
      </c>
      <c r="C795" s="48" t="s">
        <v>33</v>
      </c>
      <c r="D795" s="48" t="s">
        <v>28</v>
      </c>
      <c r="E795" s="48" t="s">
        <v>504</v>
      </c>
      <c r="F795" s="48"/>
      <c r="G795" s="119">
        <f>G796</f>
        <v>40</v>
      </c>
      <c r="H795" s="119">
        <f>H796</f>
        <v>40</v>
      </c>
      <c r="I795" s="119">
        <f>I796</f>
        <v>40</v>
      </c>
      <c r="J795" s="239"/>
      <c r="K795" s="239"/>
      <c r="L795" s="239"/>
      <c r="M795" s="239"/>
      <c r="N795" s="239"/>
      <c r="O795" s="239"/>
      <c r="P795" s="239"/>
      <c r="Q795" s="239"/>
      <c r="R795" s="239"/>
      <c r="S795" s="239"/>
      <c r="T795" s="239"/>
    </row>
    <row r="796" spans="1:20" s="82" customFormat="1" x14ac:dyDescent="0.25">
      <c r="A796" s="28" t="s">
        <v>85</v>
      </c>
      <c r="B796" s="53">
        <v>913</v>
      </c>
      <c r="C796" s="48" t="s">
        <v>33</v>
      </c>
      <c r="D796" s="48" t="s">
        <v>28</v>
      </c>
      <c r="E796" s="48" t="s">
        <v>504</v>
      </c>
      <c r="F796" s="48" t="s">
        <v>86</v>
      </c>
      <c r="G796" s="119">
        <v>40</v>
      </c>
      <c r="H796" s="119">
        <v>40</v>
      </c>
      <c r="I796" s="119">
        <v>40</v>
      </c>
      <c r="J796" s="184"/>
      <c r="K796" s="239"/>
      <c r="L796" s="239"/>
      <c r="M796" s="239"/>
      <c r="N796" s="239"/>
      <c r="O796" s="239"/>
      <c r="P796" s="239"/>
      <c r="Q796" s="239"/>
      <c r="R796" s="239"/>
      <c r="S796" s="239"/>
      <c r="T796" s="239"/>
    </row>
    <row r="797" spans="1:20" s="82" customFormat="1" x14ac:dyDescent="0.25">
      <c r="A797" s="24" t="s">
        <v>228</v>
      </c>
      <c r="B797" s="53">
        <v>913</v>
      </c>
      <c r="C797" s="48" t="s">
        <v>33</v>
      </c>
      <c r="D797" s="48" t="s">
        <v>28</v>
      </c>
      <c r="E797" s="48" t="s">
        <v>505</v>
      </c>
      <c r="F797" s="48"/>
      <c r="G797" s="119">
        <f>G798</f>
        <v>600</v>
      </c>
      <c r="H797" s="119">
        <f>H798</f>
        <v>600</v>
      </c>
      <c r="I797" s="119">
        <f>I798</f>
        <v>600</v>
      </c>
      <c r="J797" s="239"/>
      <c r="K797" s="239"/>
      <c r="L797" s="239"/>
      <c r="M797" s="239"/>
      <c r="N797" s="239"/>
      <c r="O797" s="239"/>
      <c r="P797" s="239"/>
      <c r="Q797" s="239"/>
      <c r="R797" s="239"/>
      <c r="S797" s="239"/>
      <c r="T797" s="239"/>
    </row>
    <row r="798" spans="1:20" s="82" customFormat="1" x14ac:dyDescent="0.25">
      <c r="A798" s="28" t="s">
        <v>85</v>
      </c>
      <c r="B798" s="53">
        <v>913</v>
      </c>
      <c r="C798" s="48" t="s">
        <v>33</v>
      </c>
      <c r="D798" s="48" t="s">
        <v>28</v>
      </c>
      <c r="E798" s="48" t="s">
        <v>505</v>
      </c>
      <c r="F798" s="48" t="s">
        <v>86</v>
      </c>
      <c r="G798" s="119">
        <v>600</v>
      </c>
      <c r="H798" s="119">
        <v>600</v>
      </c>
      <c r="I798" s="119">
        <v>600</v>
      </c>
      <c r="J798" s="239"/>
      <c r="K798" s="239"/>
      <c r="L798" s="239"/>
      <c r="M798" s="239"/>
      <c r="N798" s="239"/>
      <c r="O798" s="239"/>
      <c r="P798" s="239"/>
      <c r="Q798" s="239"/>
      <c r="R798" s="239"/>
      <c r="S798" s="239"/>
      <c r="T798" s="239"/>
    </row>
    <row r="799" spans="1:20" s="82" customFormat="1" ht="195.75" customHeight="1" x14ac:dyDescent="0.25">
      <c r="A799" s="28" t="s">
        <v>864</v>
      </c>
      <c r="B799" s="53">
        <v>913</v>
      </c>
      <c r="C799" s="48" t="s">
        <v>33</v>
      </c>
      <c r="D799" s="48" t="s">
        <v>28</v>
      </c>
      <c r="E799" s="48" t="s">
        <v>849</v>
      </c>
      <c r="F799" s="48"/>
      <c r="G799" s="119">
        <f>G800</f>
        <v>102785</v>
      </c>
      <c r="H799" s="119">
        <f t="shared" ref="H799:I799" si="271">H800</f>
        <v>148840</v>
      </c>
      <c r="I799" s="119">
        <f t="shared" si="271"/>
        <v>179950</v>
      </c>
      <c r="J799" s="239"/>
      <c r="K799" s="239"/>
      <c r="L799" s="239"/>
      <c r="M799" s="239"/>
      <c r="N799" s="239"/>
      <c r="O799" s="239"/>
      <c r="P799" s="239"/>
      <c r="Q799" s="239"/>
      <c r="R799" s="239"/>
      <c r="S799" s="239"/>
      <c r="T799" s="239"/>
    </row>
    <row r="800" spans="1:20" s="82" customFormat="1" x14ac:dyDescent="0.25">
      <c r="A800" s="28" t="s">
        <v>85</v>
      </c>
      <c r="B800" s="53">
        <v>913</v>
      </c>
      <c r="C800" s="48" t="s">
        <v>33</v>
      </c>
      <c r="D800" s="48" t="s">
        <v>28</v>
      </c>
      <c r="E800" s="48" t="s">
        <v>849</v>
      </c>
      <c r="F800" s="48" t="s">
        <v>86</v>
      </c>
      <c r="G800" s="119">
        <v>102785</v>
      </c>
      <c r="H800" s="119">
        <v>148840</v>
      </c>
      <c r="I800" s="119">
        <v>179950</v>
      </c>
      <c r="J800" s="239"/>
      <c r="K800" s="239"/>
      <c r="L800" s="239"/>
      <c r="M800" s="239"/>
      <c r="N800" s="239"/>
      <c r="O800" s="239"/>
      <c r="P800" s="239"/>
      <c r="Q800" s="239"/>
      <c r="R800" s="239"/>
      <c r="S800" s="239"/>
      <c r="T800" s="239"/>
    </row>
    <row r="801" spans="1:20" s="82" customFormat="1" ht="89.25" x14ac:dyDescent="0.25">
      <c r="A801" s="28" t="s">
        <v>851</v>
      </c>
      <c r="B801" s="53">
        <v>913</v>
      </c>
      <c r="C801" s="48" t="s">
        <v>33</v>
      </c>
      <c r="D801" s="48" t="s">
        <v>28</v>
      </c>
      <c r="E801" s="48" t="s">
        <v>850</v>
      </c>
      <c r="F801" s="48"/>
      <c r="G801" s="119">
        <f>G802</f>
        <v>250</v>
      </c>
      <c r="H801" s="119">
        <f t="shared" ref="H801:I801" si="272">H802</f>
        <v>250</v>
      </c>
      <c r="I801" s="119">
        <f t="shared" si="272"/>
        <v>250</v>
      </c>
      <c r="J801" s="239"/>
      <c r="K801" s="239"/>
      <c r="L801" s="239"/>
      <c r="M801" s="239"/>
      <c r="N801" s="239"/>
      <c r="O801" s="239"/>
      <c r="P801" s="239"/>
      <c r="Q801" s="239"/>
      <c r="R801" s="239"/>
      <c r="S801" s="239"/>
      <c r="T801" s="239"/>
    </row>
    <row r="802" spans="1:20" s="82" customFormat="1" x14ac:dyDescent="0.25">
      <c r="A802" s="28" t="s">
        <v>85</v>
      </c>
      <c r="B802" s="53">
        <v>913</v>
      </c>
      <c r="C802" s="48" t="s">
        <v>33</v>
      </c>
      <c r="D802" s="48" t="s">
        <v>28</v>
      </c>
      <c r="E802" s="48" t="s">
        <v>850</v>
      </c>
      <c r="F802" s="48" t="s">
        <v>86</v>
      </c>
      <c r="G802" s="119">
        <v>250</v>
      </c>
      <c r="H802" s="119">
        <v>250</v>
      </c>
      <c r="I802" s="119">
        <v>250</v>
      </c>
      <c r="J802" s="239"/>
      <c r="K802" s="239"/>
      <c r="L802" s="239"/>
      <c r="M802" s="239"/>
      <c r="N802" s="239"/>
      <c r="O802" s="239"/>
      <c r="P802" s="239"/>
      <c r="Q802" s="239"/>
      <c r="R802" s="239"/>
      <c r="S802" s="239"/>
      <c r="T802" s="239"/>
    </row>
    <row r="803" spans="1:20" s="82" customFormat="1" ht="127.5" x14ac:dyDescent="0.25">
      <c r="A803" s="28" t="s">
        <v>853</v>
      </c>
      <c r="B803" s="53">
        <v>913</v>
      </c>
      <c r="C803" s="48" t="s">
        <v>33</v>
      </c>
      <c r="D803" s="48" t="s">
        <v>28</v>
      </c>
      <c r="E803" s="48" t="s">
        <v>852</v>
      </c>
      <c r="F803" s="48"/>
      <c r="G803" s="119">
        <f>G804</f>
        <v>3000</v>
      </c>
      <c r="H803" s="119">
        <f t="shared" ref="H803:I803" si="273">H804</f>
        <v>3000</v>
      </c>
      <c r="I803" s="119">
        <f t="shared" si="273"/>
        <v>3000</v>
      </c>
      <c r="J803" s="239"/>
      <c r="K803" s="239"/>
      <c r="L803" s="239"/>
      <c r="M803" s="239"/>
      <c r="N803" s="239"/>
      <c r="O803" s="239"/>
      <c r="P803" s="239"/>
      <c r="Q803" s="239"/>
      <c r="R803" s="239"/>
      <c r="S803" s="239"/>
      <c r="T803" s="239"/>
    </row>
    <row r="804" spans="1:20" s="82" customFormat="1" x14ac:dyDescent="0.25">
      <c r="A804" s="28" t="s">
        <v>85</v>
      </c>
      <c r="B804" s="53">
        <v>913</v>
      </c>
      <c r="C804" s="48" t="s">
        <v>33</v>
      </c>
      <c r="D804" s="48" t="s">
        <v>28</v>
      </c>
      <c r="E804" s="48" t="s">
        <v>852</v>
      </c>
      <c r="F804" s="48" t="s">
        <v>86</v>
      </c>
      <c r="G804" s="119">
        <v>3000</v>
      </c>
      <c r="H804" s="119">
        <v>3000</v>
      </c>
      <c r="I804" s="119">
        <v>3000</v>
      </c>
      <c r="J804" s="239"/>
      <c r="K804" s="239"/>
      <c r="L804" s="239"/>
      <c r="M804" s="239"/>
      <c r="N804" s="239"/>
      <c r="O804" s="239"/>
      <c r="P804" s="239"/>
      <c r="Q804" s="239"/>
      <c r="R804" s="239"/>
      <c r="S804" s="239"/>
      <c r="T804" s="239"/>
    </row>
    <row r="805" spans="1:20" s="82" customFormat="1" ht="25.5" x14ac:dyDescent="0.25">
      <c r="A805" s="28" t="s">
        <v>827</v>
      </c>
      <c r="B805" s="53">
        <v>913</v>
      </c>
      <c r="C805" s="48" t="s">
        <v>33</v>
      </c>
      <c r="D805" s="48" t="s">
        <v>28</v>
      </c>
      <c r="E805" s="48" t="s">
        <v>507</v>
      </c>
      <c r="F805" s="48"/>
      <c r="G805" s="119">
        <f>G806+G808</f>
        <v>400</v>
      </c>
      <c r="H805" s="119">
        <f>H806+H808</f>
        <v>500</v>
      </c>
      <c r="I805" s="119">
        <f>I806+I808</f>
        <v>500</v>
      </c>
      <c r="J805" s="239"/>
      <c r="K805" s="239"/>
      <c r="L805" s="239"/>
      <c r="M805" s="239"/>
      <c r="N805" s="239"/>
      <c r="O805" s="239"/>
      <c r="P805" s="239"/>
      <c r="Q805" s="239"/>
      <c r="R805" s="239"/>
      <c r="S805" s="239"/>
      <c r="T805" s="239"/>
    </row>
    <row r="806" spans="1:20" s="82" customFormat="1" ht="54.75" customHeight="1" x14ac:dyDescent="0.25">
      <c r="A806" s="28" t="s">
        <v>342</v>
      </c>
      <c r="B806" s="53">
        <v>913</v>
      </c>
      <c r="C806" s="48" t="s">
        <v>33</v>
      </c>
      <c r="D806" s="48" t="s">
        <v>28</v>
      </c>
      <c r="E806" s="48" t="s">
        <v>508</v>
      </c>
      <c r="F806" s="48"/>
      <c r="G806" s="119">
        <f>G807</f>
        <v>250</v>
      </c>
      <c r="H806" s="119">
        <f>H807</f>
        <v>250</v>
      </c>
      <c r="I806" s="119">
        <f>I807</f>
        <v>250</v>
      </c>
      <c r="J806" s="239"/>
      <c r="K806" s="239"/>
      <c r="L806" s="239"/>
      <c r="M806" s="239"/>
      <c r="N806" s="239"/>
      <c r="O806" s="239"/>
      <c r="P806" s="239"/>
      <c r="Q806" s="239"/>
      <c r="R806" s="239"/>
      <c r="S806" s="239"/>
      <c r="T806" s="239"/>
    </row>
    <row r="807" spans="1:20" s="82" customFormat="1" ht="28.5" customHeight="1" x14ac:dyDescent="0.25">
      <c r="A807" s="24" t="s">
        <v>226</v>
      </c>
      <c r="B807" s="53">
        <v>913</v>
      </c>
      <c r="C807" s="48" t="s">
        <v>33</v>
      </c>
      <c r="D807" s="48" t="s">
        <v>28</v>
      </c>
      <c r="E807" s="48" t="s">
        <v>508</v>
      </c>
      <c r="F807" s="48" t="s">
        <v>59</v>
      </c>
      <c r="G807" s="119">
        <v>250</v>
      </c>
      <c r="H807" s="119">
        <v>250</v>
      </c>
      <c r="I807" s="119">
        <v>250</v>
      </c>
      <c r="J807" s="239"/>
      <c r="K807" s="239"/>
      <c r="L807" s="239"/>
      <c r="M807" s="239"/>
      <c r="N807" s="239"/>
      <c r="O807" s="239"/>
      <c r="P807" s="239"/>
      <c r="Q807" s="239"/>
      <c r="R807" s="239"/>
      <c r="S807" s="239"/>
      <c r="T807" s="239"/>
    </row>
    <row r="808" spans="1:20" s="82" customFormat="1" ht="67.5" customHeight="1" x14ac:dyDescent="0.25">
      <c r="A808" s="28" t="s">
        <v>235</v>
      </c>
      <c r="B808" s="53">
        <v>913</v>
      </c>
      <c r="C808" s="48" t="s">
        <v>33</v>
      </c>
      <c r="D808" s="48" t="s">
        <v>28</v>
      </c>
      <c r="E808" s="48" t="s">
        <v>509</v>
      </c>
      <c r="F808" s="48"/>
      <c r="G808" s="119">
        <f>G809</f>
        <v>150</v>
      </c>
      <c r="H808" s="119">
        <f>H809</f>
        <v>250</v>
      </c>
      <c r="I808" s="119">
        <f>I809</f>
        <v>250</v>
      </c>
      <c r="J808" s="239"/>
      <c r="K808" s="239"/>
      <c r="L808" s="239"/>
      <c r="M808" s="239"/>
      <c r="N808" s="239"/>
      <c r="O808" s="239"/>
      <c r="P808" s="239"/>
      <c r="Q808" s="239"/>
      <c r="R808" s="239"/>
      <c r="S808" s="239"/>
      <c r="T808" s="239"/>
    </row>
    <row r="809" spans="1:20" s="82" customFormat="1" ht="28.5" customHeight="1" x14ac:dyDescent="0.25">
      <c r="A809" s="24" t="s">
        <v>226</v>
      </c>
      <c r="B809" s="53">
        <v>913</v>
      </c>
      <c r="C809" s="48" t="s">
        <v>33</v>
      </c>
      <c r="D809" s="48" t="s">
        <v>28</v>
      </c>
      <c r="E809" s="48" t="s">
        <v>509</v>
      </c>
      <c r="F809" s="48" t="s">
        <v>59</v>
      </c>
      <c r="G809" s="119">
        <f>250-100</f>
        <v>150</v>
      </c>
      <c r="H809" s="119">
        <v>250</v>
      </c>
      <c r="I809" s="119">
        <v>250</v>
      </c>
      <c r="J809" s="239"/>
      <c r="K809" s="239"/>
      <c r="L809" s="239"/>
      <c r="M809" s="239"/>
      <c r="N809" s="239"/>
      <c r="O809" s="239"/>
      <c r="P809" s="239"/>
      <c r="Q809" s="239"/>
      <c r="R809" s="239"/>
      <c r="S809" s="239"/>
      <c r="T809" s="239"/>
    </row>
    <row r="810" spans="1:20" s="82" customFormat="1" x14ac:dyDescent="0.25">
      <c r="A810" s="24" t="s">
        <v>757</v>
      </c>
      <c r="B810" s="53">
        <v>913</v>
      </c>
      <c r="C810" s="48" t="s">
        <v>33</v>
      </c>
      <c r="D810" s="48" t="s">
        <v>28</v>
      </c>
      <c r="E810" s="48" t="s">
        <v>506</v>
      </c>
      <c r="F810" s="48"/>
      <c r="G810" s="119">
        <f t="shared" ref="G810:I812" si="274">G811</f>
        <v>150</v>
      </c>
      <c r="H810" s="119">
        <f t="shared" si="274"/>
        <v>50</v>
      </c>
      <c r="I810" s="119">
        <f t="shared" si="274"/>
        <v>50</v>
      </c>
      <c r="J810" s="239"/>
      <c r="K810" s="239"/>
      <c r="L810" s="239"/>
      <c r="M810" s="239"/>
      <c r="N810" s="239"/>
      <c r="O810" s="239"/>
      <c r="P810" s="239"/>
      <c r="Q810" s="239"/>
      <c r="R810" s="239"/>
      <c r="S810" s="239"/>
      <c r="T810" s="239"/>
    </row>
    <row r="811" spans="1:20" s="82" customFormat="1" ht="29.25" customHeight="1" x14ac:dyDescent="0.25">
      <c r="A811" s="24" t="s">
        <v>792</v>
      </c>
      <c r="B811" s="53">
        <v>913</v>
      </c>
      <c r="C811" s="48" t="s">
        <v>33</v>
      </c>
      <c r="D811" s="48" t="s">
        <v>28</v>
      </c>
      <c r="E811" s="48" t="s">
        <v>510</v>
      </c>
      <c r="F811" s="48"/>
      <c r="G811" s="119">
        <f t="shared" si="274"/>
        <v>150</v>
      </c>
      <c r="H811" s="119">
        <f t="shared" si="274"/>
        <v>50</v>
      </c>
      <c r="I811" s="119">
        <f t="shared" si="274"/>
        <v>50</v>
      </c>
      <c r="J811" s="239"/>
      <c r="K811" s="239"/>
      <c r="L811" s="239"/>
      <c r="M811" s="239"/>
      <c r="N811" s="239"/>
      <c r="O811" s="239"/>
      <c r="P811" s="239"/>
      <c r="Q811" s="239"/>
      <c r="R811" s="239"/>
      <c r="S811" s="239"/>
      <c r="T811" s="239"/>
    </row>
    <row r="812" spans="1:20" s="82" customFormat="1" ht="69" customHeight="1" x14ac:dyDescent="0.25">
      <c r="A812" s="24" t="s">
        <v>343</v>
      </c>
      <c r="B812" s="53">
        <v>913</v>
      </c>
      <c r="C812" s="48" t="s">
        <v>33</v>
      </c>
      <c r="D812" s="48" t="s">
        <v>28</v>
      </c>
      <c r="E812" s="48" t="s">
        <v>511</v>
      </c>
      <c r="F812" s="48"/>
      <c r="G812" s="119">
        <f t="shared" si="274"/>
        <v>150</v>
      </c>
      <c r="H812" s="119">
        <f t="shared" si="274"/>
        <v>50</v>
      </c>
      <c r="I812" s="119">
        <f t="shared" si="274"/>
        <v>50</v>
      </c>
      <c r="J812" s="239"/>
      <c r="K812" s="239"/>
      <c r="L812" s="239"/>
      <c r="M812" s="239"/>
      <c r="N812" s="239"/>
      <c r="O812" s="239"/>
      <c r="P812" s="239"/>
      <c r="Q812" s="239"/>
      <c r="R812" s="239"/>
      <c r="S812" s="239"/>
      <c r="T812" s="239"/>
    </row>
    <row r="813" spans="1:20" s="82" customFormat="1" ht="30" customHeight="1" x14ac:dyDescent="0.25">
      <c r="A813" s="24" t="s">
        <v>64</v>
      </c>
      <c r="B813" s="53">
        <v>913</v>
      </c>
      <c r="C813" s="48" t="s">
        <v>33</v>
      </c>
      <c r="D813" s="48" t="s">
        <v>28</v>
      </c>
      <c r="E813" s="48" t="s">
        <v>511</v>
      </c>
      <c r="F813" s="48" t="s">
        <v>65</v>
      </c>
      <c r="G813" s="119">
        <f>50+100</f>
        <v>150</v>
      </c>
      <c r="H813" s="119">
        <v>50</v>
      </c>
      <c r="I813" s="119">
        <v>50</v>
      </c>
      <c r="J813" s="239"/>
      <c r="K813" s="239"/>
      <c r="L813" s="239"/>
      <c r="M813" s="239"/>
      <c r="N813" s="239"/>
      <c r="O813" s="239"/>
      <c r="P813" s="239"/>
      <c r="Q813" s="239"/>
      <c r="R813" s="239"/>
      <c r="S813" s="239"/>
      <c r="T813" s="239"/>
    </row>
    <row r="814" spans="1:20" s="82" customFormat="1" ht="29.25" customHeight="1" x14ac:dyDescent="0.25">
      <c r="A814" s="24" t="s">
        <v>82</v>
      </c>
      <c r="B814" s="53">
        <v>913</v>
      </c>
      <c r="C814" s="48" t="s">
        <v>33</v>
      </c>
      <c r="D814" s="48" t="s">
        <v>28</v>
      </c>
      <c r="E814" s="48" t="s">
        <v>105</v>
      </c>
      <c r="F814" s="48"/>
      <c r="G814" s="119">
        <f>G815+G817</f>
        <v>1359.4</v>
      </c>
      <c r="H814" s="119">
        <f>H815+H817</f>
        <v>1153.8</v>
      </c>
      <c r="I814" s="119">
        <f>I815+I817</f>
        <v>1243.0999999999999</v>
      </c>
      <c r="J814" s="239"/>
      <c r="K814" s="239"/>
      <c r="L814" s="239"/>
      <c r="M814" s="239"/>
      <c r="N814" s="239"/>
      <c r="O814" s="239"/>
      <c r="P814" s="239"/>
      <c r="Q814" s="239"/>
      <c r="R814" s="239"/>
      <c r="S814" s="239"/>
      <c r="T814" s="239"/>
    </row>
    <row r="815" spans="1:20" s="82" customFormat="1" x14ac:dyDescent="0.25">
      <c r="A815" s="24" t="s">
        <v>150</v>
      </c>
      <c r="B815" s="53">
        <v>913</v>
      </c>
      <c r="C815" s="48" t="s">
        <v>33</v>
      </c>
      <c r="D815" s="48" t="s">
        <v>28</v>
      </c>
      <c r="E815" s="48" t="s">
        <v>287</v>
      </c>
      <c r="F815" s="48"/>
      <c r="G815" s="119">
        <f>G816</f>
        <v>901.9</v>
      </c>
      <c r="H815" s="119">
        <f>H816</f>
        <v>632.29999999999995</v>
      </c>
      <c r="I815" s="119">
        <f>I816</f>
        <v>657.7</v>
      </c>
      <c r="J815" s="239"/>
      <c r="K815" s="239"/>
      <c r="L815" s="239"/>
      <c r="M815" s="239"/>
      <c r="N815" s="239"/>
      <c r="O815" s="239"/>
      <c r="P815" s="239"/>
      <c r="Q815" s="239"/>
      <c r="R815" s="239"/>
      <c r="S815" s="239"/>
      <c r="T815" s="239"/>
    </row>
    <row r="816" spans="1:20" s="82" customFormat="1" x14ac:dyDescent="0.25">
      <c r="A816" s="28" t="s">
        <v>85</v>
      </c>
      <c r="B816" s="53">
        <v>913</v>
      </c>
      <c r="C816" s="48" t="s">
        <v>33</v>
      </c>
      <c r="D816" s="48" t="s">
        <v>28</v>
      </c>
      <c r="E816" s="48" t="s">
        <v>287</v>
      </c>
      <c r="F816" s="48" t="s">
        <v>86</v>
      </c>
      <c r="G816" s="119">
        <f>608+293.9</f>
        <v>901.9</v>
      </c>
      <c r="H816" s="119">
        <v>632.29999999999995</v>
      </c>
      <c r="I816" s="119">
        <v>657.7</v>
      </c>
      <c r="J816" s="239"/>
      <c r="K816" s="239"/>
      <c r="L816" s="239"/>
      <c r="M816" s="239"/>
      <c r="N816" s="239"/>
      <c r="O816" s="239"/>
      <c r="P816" s="239"/>
      <c r="Q816" s="239"/>
      <c r="R816" s="239"/>
      <c r="S816" s="239"/>
      <c r="T816" s="239"/>
    </row>
    <row r="817" spans="1:20" s="82" customFormat="1" ht="30.75" customHeight="1" x14ac:dyDescent="0.25">
      <c r="A817" s="24" t="s">
        <v>333</v>
      </c>
      <c r="B817" s="53">
        <v>913</v>
      </c>
      <c r="C817" s="48" t="s">
        <v>33</v>
      </c>
      <c r="D817" s="48" t="s">
        <v>28</v>
      </c>
      <c r="E817" s="48" t="s">
        <v>288</v>
      </c>
      <c r="F817" s="48"/>
      <c r="G817" s="119">
        <f>G818</f>
        <v>457.5</v>
      </c>
      <c r="H817" s="119">
        <f>H818</f>
        <v>521.5</v>
      </c>
      <c r="I817" s="119">
        <f>I818</f>
        <v>585.4</v>
      </c>
      <c r="J817" s="239"/>
      <c r="K817" s="239"/>
      <c r="L817" s="239"/>
      <c r="M817" s="239"/>
      <c r="N817" s="239"/>
      <c r="O817" s="239"/>
      <c r="P817" s="239"/>
      <c r="Q817" s="239"/>
      <c r="R817" s="239"/>
      <c r="S817" s="239"/>
      <c r="T817" s="239"/>
    </row>
    <row r="818" spans="1:20" s="82" customFormat="1" x14ac:dyDescent="0.25">
      <c r="A818" s="28" t="s">
        <v>85</v>
      </c>
      <c r="B818" s="53">
        <v>913</v>
      </c>
      <c r="C818" s="48" t="s">
        <v>33</v>
      </c>
      <c r="D818" s="48" t="s">
        <v>28</v>
      </c>
      <c r="E818" s="48" t="s">
        <v>288</v>
      </c>
      <c r="F818" s="48" t="s">
        <v>86</v>
      </c>
      <c r="G818" s="119">
        <v>457.5</v>
      </c>
      <c r="H818" s="119">
        <v>521.5</v>
      </c>
      <c r="I818" s="119">
        <v>585.4</v>
      </c>
      <c r="J818" s="239"/>
      <c r="K818" s="239"/>
      <c r="L818" s="239"/>
      <c r="M818" s="239"/>
      <c r="N818" s="239"/>
      <c r="O818" s="239"/>
      <c r="P818" s="239"/>
      <c r="Q818" s="239"/>
      <c r="R818" s="239"/>
      <c r="S818" s="239"/>
      <c r="T818" s="239"/>
    </row>
    <row r="819" spans="1:20" s="82" customFormat="1" x14ac:dyDescent="0.25">
      <c r="A819" s="28" t="s">
        <v>196</v>
      </c>
      <c r="B819" s="53">
        <v>913</v>
      </c>
      <c r="C819" s="48" t="s">
        <v>33</v>
      </c>
      <c r="D819" s="48" t="s">
        <v>28</v>
      </c>
      <c r="E819" s="48" t="s">
        <v>197</v>
      </c>
      <c r="F819" s="48"/>
      <c r="G819" s="119">
        <f>G820</f>
        <v>342.6</v>
      </c>
      <c r="H819" s="119">
        <f t="shared" ref="H819:I821" si="275">H820</f>
        <v>0</v>
      </c>
      <c r="I819" s="119">
        <f t="shared" si="275"/>
        <v>0</v>
      </c>
      <c r="J819" s="239"/>
      <c r="K819" s="239"/>
      <c r="L819" s="239"/>
      <c r="M819" s="239"/>
      <c r="N819" s="239"/>
      <c r="O819" s="239"/>
      <c r="P819" s="239"/>
      <c r="Q819" s="239"/>
      <c r="R819" s="239"/>
      <c r="S819" s="239"/>
      <c r="T819" s="239"/>
    </row>
    <row r="820" spans="1:20" s="82" customFormat="1" x14ac:dyDescent="0.25">
      <c r="A820" s="28" t="s">
        <v>198</v>
      </c>
      <c r="B820" s="53">
        <v>913</v>
      </c>
      <c r="C820" s="48" t="s">
        <v>33</v>
      </c>
      <c r="D820" s="48" t="s">
        <v>28</v>
      </c>
      <c r="E820" s="48" t="s">
        <v>199</v>
      </c>
      <c r="F820" s="48"/>
      <c r="G820" s="119">
        <f>G821</f>
        <v>342.6</v>
      </c>
      <c r="H820" s="119">
        <f t="shared" si="275"/>
        <v>0</v>
      </c>
      <c r="I820" s="119">
        <f t="shared" si="275"/>
        <v>0</v>
      </c>
      <c r="J820" s="239"/>
      <c r="K820" s="239"/>
      <c r="L820" s="239"/>
      <c r="M820" s="239"/>
      <c r="N820" s="239"/>
      <c r="O820" s="239"/>
      <c r="P820" s="239"/>
      <c r="Q820" s="239"/>
      <c r="R820" s="239"/>
      <c r="S820" s="239"/>
      <c r="T820" s="239"/>
    </row>
    <row r="821" spans="1:20" s="82" customFormat="1" x14ac:dyDescent="0.25">
      <c r="A821" s="28" t="s">
        <v>200</v>
      </c>
      <c r="B821" s="53">
        <v>913</v>
      </c>
      <c r="C821" s="48" t="s">
        <v>33</v>
      </c>
      <c r="D821" s="48" t="s">
        <v>28</v>
      </c>
      <c r="E821" s="48" t="s">
        <v>236</v>
      </c>
      <c r="F821" s="48"/>
      <c r="G821" s="119">
        <f>G822</f>
        <v>342.6</v>
      </c>
      <c r="H821" s="119">
        <f t="shared" si="275"/>
        <v>0</v>
      </c>
      <c r="I821" s="119">
        <f t="shared" si="275"/>
        <v>0</v>
      </c>
      <c r="J821" s="239"/>
      <c r="K821" s="239"/>
      <c r="L821" s="239"/>
      <c r="M821" s="239"/>
      <c r="N821" s="239"/>
      <c r="O821" s="239"/>
      <c r="P821" s="239"/>
      <c r="Q821" s="239"/>
      <c r="R821" s="239"/>
      <c r="S821" s="239"/>
      <c r="T821" s="239"/>
    </row>
    <row r="822" spans="1:20" s="82" customFormat="1" x14ac:dyDescent="0.25">
      <c r="A822" s="28" t="s">
        <v>85</v>
      </c>
      <c r="B822" s="53">
        <v>913</v>
      </c>
      <c r="C822" s="48" t="s">
        <v>33</v>
      </c>
      <c r="D822" s="48" t="s">
        <v>28</v>
      </c>
      <c r="E822" s="48" t="s">
        <v>236</v>
      </c>
      <c r="F822" s="48" t="s">
        <v>86</v>
      </c>
      <c r="G822" s="119">
        <v>342.6</v>
      </c>
      <c r="H822" s="119">
        <v>0</v>
      </c>
      <c r="I822" s="119">
        <v>0</v>
      </c>
      <c r="J822" s="239"/>
      <c r="K822" s="239"/>
      <c r="L822" s="239"/>
      <c r="M822" s="239"/>
      <c r="N822" s="239"/>
      <c r="O822" s="239"/>
      <c r="P822" s="239"/>
      <c r="Q822" s="239"/>
      <c r="R822" s="239"/>
      <c r="S822" s="239"/>
      <c r="T822" s="239"/>
    </row>
    <row r="823" spans="1:20" s="82" customFormat="1" x14ac:dyDescent="0.25">
      <c r="A823" s="24" t="s">
        <v>326</v>
      </c>
      <c r="B823" s="53">
        <v>913</v>
      </c>
      <c r="C823" s="48" t="s">
        <v>36</v>
      </c>
      <c r="D823" s="48"/>
      <c r="E823" s="48"/>
      <c r="F823" s="48"/>
      <c r="G823" s="119">
        <f>G824</f>
        <v>9766.5</v>
      </c>
      <c r="H823" s="119">
        <f>H824</f>
        <v>9942</v>
      </c>
      <c r="I823" s="119">
        <f>I824</f>
        <v>10154</v>
      </c>
      <c r="J823" s="239"/>
      <c r="K823" s="239"/>
      <c r="L823" s="239"/>
      <c r="M823" s="239"/>
      <c r="N823" s="239"/>
      <c r="O823" s="239"/>
      <c r="P823" s="239"/>
      <c r="Q823" s="239"/>
      <c r="R823" s="239"/>
      <c r="S823" s="239"/>
      <c r="T823" s="239"/>
    </row>
    <row r="824" spans="1:20" s="82" customFormat="1" x14ac:dyDescent="0.25">
      <c r="A824" s="24" t="s">
        <v>8</v>
      </c>
      <c r="B824" s="53">
        <v>913</v>
      </c>
      <c r="C824" s="48" t="s">
        <v>36</v>
      </c>
      <c r="D824" s="48" t="s">
        <v>27</v>
      </c>
      <c r="E824" s="48"/>
      <c r="F824" s="48"/>
      <c r="G824" s="119">
        <f t="shared" ref="G824:I826" si="276">G825</f>
        <v>9766.5</v>
      </c>
      <c r="H824" s="119">
        <f t="shared" si="276"/>
        <v>9942</v>
      </c>
      <c r="I824" s="119">
        <f t="shared" si="276"/>
        <v>10154</v>
      </c>
      <c r="J824" s="239"/>
      <c r="K824" s="239"/>
      <c r="L824" s="239"/>
      <c r="M824" s="239"/>
      <c r="N824" s="239"/>
      <c r="O824" s="239"/>
      <c r="P824" s="239"/>
      <c r="Q824" s="239"/>
      <c r="R824" s="239"/>
      <c r="S824" s="239"/>
      <c r="T824" s="239"/>
    </row>
    <row r="825" spans="1:20" s="82" customFormat="1" ht="29.25" customHeight="1" x14ac:dyDescent="0.25">
      <c r="A825" s="24" t="s">
        <v>512</v>
      </c>
      <c r="B825" s="53">
        <v>913</v>
      </c>
      <c r="C825" s="48" t="s">
        <v>36</v>
      </c>
      <c r="D825" s="48" t="s">
        <v>27</v>
      </c>
      <c r="E825" s="48" t="s">
        <v>203</v>
      </c>
      <c r="F825" s="48"/>
      <c r="G825" s="119">
        <f t="shared" si="276"/>
        <v>9766.5</v>
      </c>
      <c r="H825" s="119">
        <f t="shared" si="276"/>
        <v>9942</v>
      </c>
      <c r="I825" s="119">
        <f t="shared" si="276"/>
        <v>10154</v>
      </c>
      <c r="J825" s="239"/>
      <c r="K825" s="239"/>
      <c r="L825" s="239"/>
      <c r="M825" s="239"/>
      <c r="N825" s="239"/>
      <c r="O825" s="239"/>
      <c r="P825" s="239"/>
      <c r="Q825" s="239"/>
      <c r="R825" s="239"/>
      <c r="S825" s="239"/>
      <c r="T825" s="239"/>
    </row>
    <row r="826" spans="1:20" s="82" customFormat="1" ht="40.5" customHeight="1" x14ac:dyDescent="0.25">
      <c r="A826" s="24" t="s">
        <v>828</v>
      </c>
      <c r="B826" s="53">
        <v>913</v>
      </c>
      <c r="C826" s="48" t="s">
        <v>36</v>
      </c>
      <c r="D826" s="48" t="s">
        <v>27</v>
      </c>
      <c r="E826" s="48" t="s">
        <v>514</v>
      </c>
      <c r="F826" s="48"/>
      <c r="G826" s="119">
        <f t="shared" si="276"/>
        <v>9766.5</v>
      </c>
      <c r="H826" s="119">
        <f t="shared" si="276"/>
        <v>9942</v>
      </c>
      <c r="I826" s="119">
        <f t="shared" si="276"/>
        <v>10154</v>
      </c>
      <c r="J826" s="239"/>
      <c r="K826" s="239"/>
      <c r="L826" s="239"/>
      <c r="M826" s="239"/>
      <c r="N826" s="239"/>
      <c r="O826" s="239"/>
      <c r="P826" s="239"/>
      <c r="Q826" s="239"/>
      <c r="R826" s="239"/>
      <c r="S826" s="239"/>
      <c r="T826" s="239"/>
    </row>
    <row r="827" spans="1:20" s="82" customFormat="1" ht="28.5" customHeight="1" x14ac:dyDescent="0.25">
      <c r="A827" s="24" t="s">
        <v>242</v>
      </c>
      <c r="B827" s="53">
        <v>913</v>
      </c>
      <c r="C827" s="48" t="s">
        <v>36</v>
      </c>
      <c r="D827" s="48" t="s">
        <v>27</v>
      </c>
      <c r="E827" s="48" t="s">
        <v>515</v>
      </c>
      <c r="F827" s="48"/>
      <c r="G827" s="119">
        <f>G828+G830+G832+G834</f>
        <v>9766.5</v>
      </c>
      <c r="H827" s="119">
        <f>H828+H830+H832+H834</f>
        <v>9942</v>
      </c>
      <c r="I827" s="119">
        <f>I828+I830+I832+I834</f>
        <v>10154</v>
      </c>
      <c r="J827" s="239"/>
      <c r="K827" s="239"/>
      <c r="L827" s="239"/>
      <c r="M827" s="239"/>
      <c r="N827" s="239"/>
      <c r="O827" s="239"/>
      <c r="P827" s="239"/>
      <c r="Q827" s="239"/>
      <c r="R827" s="239"/>
      <c r="S827" s="239"/>
      <c r="T827" s="239"/>
    </row>
    <row r="828" spans="1:20" s="82" customFormat="1" ht="38.25" x14ac:dyDescent="0.25">
      <c r="A828" s="24" t="s">
        <v>354</v>
      </c>
      <c r="B828" s="53">
        <v>913</v>
      </c>
      <c r="C828" s="48" t="s">
        <v>36</v>
      </c>
      <c r="D828" s="48" t="s">
        <v>27</v>
      </c>
      <c r="E828" s="48" t="s">
        <v>516</v>
      </c>
      <c r="F828" s="48"/>
      <c r="G828" s="119">
        <f>G829</f>
        <v>6100.9</v>
      </c>
      <c r="H828" s="119">
        <f>H829</f>
        <v>6272.1</v>
      </c>
      <c r="I828" s="119">
        <f>I829</f>
        <v>6479.5</v>
      </c>
      <c r="J828" s="239"/>
      <c r="K828" s="239"/>
      <c r="L828" s="239"/>
      <c r="M828" s="239"/>
      <c r="N828" s="239"/>
      <c r="O828" s="239"/>
      <c r="P828" s="239"/>
      <c r="Q828" s="239"/>
      <c r="R828" s="239"/>
      <c r="S828" s="239"/>
      <c r="T828" s="239"/>
    </row>
    <row r="829" spans="1:20" s="82" customFormat="1" ht="28.5" customHeight="1" x14ac:dyDescent="0.25">
      <c r="A829" s="24" t="s">
        <v>64</v>
      </c>
      <c r="B829" s="53">
        <v>913</v>
      </c>
      <c r="C829" s="48" t="s">
        <v>36</v>
      </c>
      <c r="D829" s="48" t="s">
        <v>27</v>
      </c>
      <c r="E829" s="48" t="s">
        <v>516</v>
      </c>
      <c r="F829" s="48" t="s">
        <v>65</v>
      </c>
      <c r="G829" s="119">
        <v>6100.9</v>
      </c>
      <c r="H829" s="119">
        <v>6272.1</v>
      </c>
      <c r="I829" s="119">
        <v>6479.5</v>
      </c>
      <c r="J829" s="136"/>
      <c r="K829" s="136"/>
      <c r="L829" s="136"/>
      <c r="M829" s="239"/>
      <c r="N829" s="239"/>
      <c r="O829" s="239"/>
      <c r="P829" s="239"/>
      <c r="Q829" s="239"/>
      <c r="R829" s="239"/>
      <c r="S829" s="239"/>
      <c r="T829" s="239"/>
    </row>
    <row r="830" spans="1:20" s="82" customFormat="1" ht="28.5" customHeight="1" x14ac:dyDescent="0.25">
      <c r="A830" s="24" t="s">
        <v>353</v>
      </c>
      <c r="B830" s="53">
        <v>913</v>
      </c>
      <c r="C830" s="48" t="s">
        <v>36</v>
      </c>
      <c r="D830" s="48" t="s">
        <v>27</v>
      </c>
      <c r="E830" s="48" t="s">
        <v>517</v>
      </c>
      <c r="F830" s="48"/>
      <c r="G830" s="119">
        <f>G831</f>
        <v>108.7</v>
      </c>
      <c r="H830" s="119">
        <f>H831</f>
        <v>113</v>
      </c>
      <c r="I830" s="119">
        <f>I831</f>
        <v>117.6</v>
      </c>
      <c r="J830" s="239"/>
      <c r="K830" s="239"/>
      <c r="L830" s="239"/>
      <c r="M830" s="239"/>
      <c r="N830" s="239"/>
      <c r="O830" s="239"/>
      <c r="P830" s="239"/>
      <c r="Q830" s="239"/>
      <c r="R830" s="239"/>
      <c r="S830" s="239"/>
      <c r="T830" s="239"/>
    </row>
    <row r="831" spans="1:20" s="82" customFormat="1" ht="28.5" customHeight="1" x14ac:dyDescent="0.25">
      <c r="A831" s="24" t="s">
        <v>64</v>
      </c>
      <c r="B831" s="53">
        <v>913</v>
      </c>
      <c r="C831" s="48" t="s">
        <v>36</v>
      </c>
      <c r="D831" s="48" t="s">
        <v>27</v>
      </c>
      <c r="E831" s="48" t="s">
        <v>517</v>
      </c>
      <c r="F831" s="48" t="s">
        <v>65</v>
      </c>
      <c r="G831" s="119">
        <v>108.7</v>
      </c>
      <c r="H831" s="119">
        <v>113</v>
      </c>
      <c r="I831" s="119">
        <v>117.6</v>
      </c>
      <c r="J831" s="239"/>
      <c r="K831" s="239"/>
      <c r="L831" s="239"/>
      <c r="M831" s="239"/>
      <c r="N831" s="239"/>
      <c r="O831" s="239"/>
      <c r="P831" s="239"/>
      <c r="Q831" s="239"/>
      <c r="R831" s="239"/>
      <c r="S831" s="239"/>
      <c r="T831" s="239"/>
    </row>
    <row r="832" spans="1:20" s="82" customFormat="1" ht="28.5" customHeight="1" x14ac:dyDescent="0.25">
      <c r="A832" s="24" t="s">
        <v>513</v>
      </c>
      <c r="B832" s="53">
        <v>913</v>
      </c>
      <c r="C832" s="48" t="s">
        <v>36</v>
      </c>
      <c r="D832" s="48" t="s">
        <v>27</v>
      </c>
      <c r="E832" s="48" t="s">
        <v>518</v>
      </c>
      <c r="F832" s="48"/>
      <c r="G832" s="119">
        <f>G833</f>
        <v>18</v>
      </c>
      <c r="H832" s="119">
        <f>H833</f>
        <v>18</v>
      </c>
      <c r="I832" s="119">
        <f>I833</f>
        <v>18</v>
      </c>
      <c r="J832" s="239"/>
      <c r="K832" s="239"/>
      <c r="L832" s="239"/>
      <c r="M832" s="239"/>
      <c r="N832" s="239"/>
      <c r="O832" s="239"/>
      <c r="P832" s="239"/>
      <c r="Q832" s="239"/>
      <c r="R832" s="239"/>
      <c r="S832" s="239"/>
      <c r="T832" s="239"/>
    </row>
    <row r="833" spans="1:20" s="82" customFormat="1" ht="28.5" customHeight="1" x14ac:dyDescent="0.25">
      <c r="A833" s="24" t="s">
        <v>64</v>
      </c>
      <c r="B833" s="53">
        <v>913</v>
      </c>
      <c r="C833" s="48" t="s">
        <v>36</v>
      </c>
      <c r="D833" s="48" t="s">
        <v>27</v>
      </c>
      <c r="E833" s="48" t="s">
        <v>518</v>
      </c>
      <c r="F833" s="48" t="s">
        <v>65</v>
      </c>
      <c r="G833" s="119">
        <v>18</v>
      </c>
      <c r="H833" s="119">
        <v>18</v>
      </c>
      <c r="I833" s="119">
        <v>18</v>
      </c>
      <c r="J833" s="239"/>
      <c r="K833" s="239"/>
      <c r="L833" s="239"/>
      <c r="M833" s="239"/>
      <c r="N833" s="239"/>
      <c r="O833" s="239"/>
      <c r="P833" s="239"/>
      <c r="Q833" s="239"/>
      <c r="R833" s="239"/>
      <c r="S833" s="239"/>
      <c r="T833" s="239"/>
    </row>
    <row r="834" spans="1:20" s="82" customFormat="1" ht="28.5" customHeight="1" x14ac:dyDescent="0.25">
      <c r="A834" s="24" t="s">
        <v>355</v>
      </c>
      <c r="B834" s="53">
        <v>913</v>
      </c>
      <c r="C834" s="48" t="s">
        <v>36</v>
      </c>
      <c r="D834" s="48" t="s">
        <v>27</v>
      </c>
      <c r="E834" s="48" t="s">
        <v>519</v>
      </c>
      <c r="F834" s="48"/>
      <c r="G834" s="119">
        <f>G835</f>
        <v>3538.9</v>
      </c>
      <c r="H834" s="119">
        <f>H835</f>
        <v>3538.9</v>
      </c>
      <c r="I834" s="119">
        <f>I835</f>
        <v>3538.9</v>
      </c>
      <c r="J834" s="239"/>
      <c r="K834" s="239"/>
      <c r="L834" s="239"/>
      <c r="M834" s="239"/>
      <c r="N834" s="239"/>
      <c r="O834" s="239"/>
      <c r="P834" s="239"/>
      <c r="Q834" s="239"/>
      <c r="R834" s="239"/>
      <c r="S834" s="239"/>
      <c r="T834" s="239"/>
    </row>
    <row r="835" spans="1:20" s="82" customFormat="1" ht="28.5" customHeight="1" x14ac:dyDescent="0.25">
      <c r="A835" s="24" t="s">
        <v>64</v>
      </c>
      <c r="B835" s="53">
        <v>913</v>
      </c>
      <c r="C835" s="48" t="s">
        <v>36</v>
      </c>
      <c r="D835" s="48" t="s">
        <v>27</v>
      </c>
      <c r="E835" s="48" t="s">
        <v>519</v>
      </c>
      <c r="F835" s="48" t="s">
        <v>65</v>
      </c>
      <c r="G835" s="119">
        <v>3538.9</v>
      </c>
      <c r="H835" s="119">
        <v>3538.9</v>
      </c>
      <c r="I835" s="119">
        <v>3538.9</v>
      </c>
      <c r="J835" s="239"/>
      <c r="K835" s="239"/>
      <c r="L835" s="239"/>
      <c r="M835" s="239"/>
      <c r="N835" s="239"/>
      <c r="O835" s="239"/>
      <c r="P835" s="239"/>
      <c r="Q835" s="239"/>
      <c r="R835" s="239"/>
      <c r="S835" s="239"/>
      <c r="T835" s="239"/>
    </row>
    <row r="836" spans="1:20" s="82" customFormat="1" ht="35.25" customHeight="1" x14ac:dyDescent="0.25">
      <c r="A836" s="86" t="s">
        <v>44</v>
      </c>
      <c r="B836" s="44">
        <v>916</v>
      </c>
      <c r="C836" s="204"/>
      <c r="D836" s="204"/>
      <c r="E836" s="204"/>
      <c r="F836" s="204"/>
      <c r="G836" s="116">
        <f>G837</f>
        <v>28018.7</v>
      </c>
      <c r="H836" s="116">
        <f t="shared" ref="H836:I836" si="277">H837</f>
        <v>28594.3</v>
      </c>
      <c r="I836" s="116">
        <f t="shared" si="277"/>
        <v>29676.2</v>
      </c>
      <c r="J836" s="184"/>
      <c r="K836" s="184"/>
      <c r="L836" s="184"/>
      <c r="M836" s="239"/>
      <c r="N836" s="239"/>
      <c r="O836" s="239"/>
      <c r="P836" s="239"/>
      <c r="Q836" s="239"/>
      <c r="R836" s="239"/>
      <c r="S836" s="239"/>
      <c r="T836" s="239"/>
    </row>
    <row r="837" spans="1:20" s="82" customFormat="1" x14ac:dyDescent="0.25">
      <c r="A837" s="24" t="s">
        <v>5</v>
      </c>
      <c r="B837" s="53">
        <v>916</v>
      </c>
      <c r="C837" s="48" t="s">
        <v>29</v>
      </c>
      <c r="D837" s="48"/>
      <c r="E837" s="44"/>
      <c r="F837" s="44"/>
      <c r="G837" s="119">
        <f t="shared" ref="G837:I837" si="278">G838</f>
        <v>28018.7</v>
      </c>
      <c r="H837" s="119">
        <f t="shared" si="278"/>
        <v>28594.3</v>
      </c>
      <c r="I837" s="119">
        <f t="shared" si="278"/>
        <v>29676.2</v>
      </c>
      <c r="J837" s="170"/>
      <c r="K837" s="170"/>
      <c r="L837" s="170"/>
      <c r="M837" s="239"/>
      <c r="N837" s="239"/>
      <c r="O837" s="239"/>
      <c r="P837" s="239"/>
      <c r="Q837" s="239"/>
      <c r="R837" s="239"/>
      <c r="S837" s="239"/>
      <c r="T837" s="239"/>
    </row>
    <row r="838" spans="1:20" s="82" customFormat="1" x14ac:dyDescent="0.25">
      <c r="A838" s="24" t="s">
        <v>6</v>
      </c>
      <c r="B838" s="53">
        <v>916</v>
      </c>
      <c r="C838" s="48" t="s">
        <v>29</v>
      </c>
      <c r="D838" s="48" t="s">
        <v>36</v>
      </c>
      <c r="E838" s="44"/>
      <c r="F838" s="44"/>
      <c r="G838" s="119">
        <f>G839+G849</f>
        <v>28018.7</v>
      </c>
      <c r="H838" s="119">
        <f t="shared" ref="H838:I838" si="279">H839+H849</f>
        <v>28594.3</v>
      </c>
      <c r="I838" s="119">
        <f t="shared" si="279"/>
        <v>29676.2</v>
      </c>
      <c r="J838" s="239"/>
      <c r="K838" s="239"/>
      <c r="L838" s="239"/>
      <c r="M838" s="239"/>
      <c r="N838" s="239"/>
      <c r="O838" s="239"/>
      <c r="P838" s="239"/>
      <c r="Q838" s="239"/>
      <c r="R838" s="239"/>
      <c r="S838" s="239"/>
      <c r="T838" s="239"/>
    </row>
    <row r="839" spans="1:20" s="82" customFormat="1" ht="25.5" x14ac:dyDescent="0.25">
      <c r="A839" s="23" t="s">
        <v>394</v>
      </c>
      <c r="B839" s="53">
        <v>916</v>
      </c>
      <c r="C839" s="48" t="s">
        <v>29</v>
      </c>
      <c r="D839" s="48" t="s">
        <v>36</v>
      </c>
      <c r="E839" s="48" t="s">
        <v>395</v>
      </c>
      <c r="F839" s="44"/>
      <c r="G839" s="119">
        <f>G840+G844</f>
        <v>27965.8</v>
      </c>
      <c r="H839" s="119">
        <f>H840+H844</f>
        <v>28541.399999999998</v>
      </c>
      <c r="I839" s="119">
        <f>I840+I844</f>
        <v>29623.3</v>
      </c>
      <c r="J839" s="239"/>
      <c r="K839" s="239"/>
      <c r="L839" s="239"/>
      <c r="M839" s="239"/>
      <c r="N839" s="239"/>
      <c r="O839" s="239"/>
      <c r="P839" s="239"/>
      <c r="Q839" s="239"/>
      <c r="R839" s="239"/>
      <c r="S839" s="239"/>
      <c r="T839" s="239"/>
    </row>
    <row r="840" spans="1:20" s="82" customFormat="1" ht="25.5" x14ac:dyDescent="0.25">
      <c r="A840" s="23" t="s">
        <v>397</v>
      </c>
      <c r="B840" s="53">
        <v>916</v>
      </c>
      <c r="C840" s="48" t="s">
        <v>29</v>
      </c>
      <c r="D840" s="48" t="s">
        <v>36</v>
      </c>
      <c r="E840" s="48" t="s">
        <v>396</v>
      </c>
      <c r="F840" s="48"/>
      <c r="G840" s="119">
        <f>G841</f>
        <v>27275.8</v>
      </c>
      <c r="H840" s="119">
        <f>H841</f>
        <v>28241.399999999998</v>
      </c>
      <c r="I840" s="119">
        <f>I841</f>
        <v>29323.3</v>
      </c>
      <c r="J840" s="239"/>
      <c r="K840" s="239"/>
      <c r="L840" s="239"/>
      <c r="M840" s="239"/>
      <c r="N840" s="239"/>
      <c r="O840" s="239"/>
      <c r="P840" s="239"/>
      <c r="Q840" s="239"/>
      <c r="R840" s="239"/>
      <c r="S840" s="239"/>
      <c r="T840" s="239"/>
    </row>
    <row r="841" spans="1:20" s="82" customFormat="1" x14ac:dyDescent="0.25">
      <c r="A841" s="24" t="s">
        <v>138</v>
      </c>
      <c r="B841" s="53">
        <v>916</v>
      </c>
      <c r="C841" s="48" t="s">
        <v>29</v>
      </c>
      <c r="D841" s="48" t="s">
        <v>36</v>
      </c>
      <c r="E841" s="48" t="s">
        <v>398</v>
      </c>
      <c r="F841" s="48"/>
      <c r="G841" s="119">
        <f>G842+G843</f>
        <v>27275.8</v>
      </c>
      <c r="H841" s="119">
        <f t="shared" ref="H841:I841" si="280">H842+H843</f>
        <v>28241.399999999998</v>
      </c>
      <c r="I841" s="119">
        <f t="shared" si="280"/>
        <v>29323.3</v>
      </c>
      <c r="J841" s="239"/>
      <c r="K841" s="239"/>
      <c r="L841" s="239"/>
      <c r="M841" s="239"/>
      <c r="N841" s="239"/>
      <c r="O841" s="239"/>
      <c r="P841" s="239"/>
      <c r="Q841" s="239"/>
      <c r="R841" s="239"/>
      <c r="S841" s="239"/>
      <c r="T841" s="239"/>
    </row>
    <row r="842" spans="1:20" s="82" customFormat="1" ht="38.25" x14ac:dyDescent="0.25">
      <c r="A842" s="24" t="s">
        <v>225</v>
      </c>
      <c r="B842" s="53">
        <v>916</v>
      </c>
      <c r="C842" s="48" t="s">
        <v>29</v>
      </c>
      <c r="D842" s="48" t="s">
        <v>36</v>
      </c>
      <c r="E842" s="48" t="s">
        <v>398</v>
      </c>
      <c r="F842" s="48" t="s">
        <v>66</v>
      </c>
      <c r="G842" s="119">
        <v>26133.200000000001</v>
      </c>
      <c r="H842" s="119">
        <v>27173.3</v>
      </c>
      <c r="I842" s="119">
        <v>28255.200000000001</v>
      </c>
      <c r="J842" s="184"/>
      <c r="K842" s="239"/>
      <c r="L842" s="239"/>
      <c r="M842" s="239"/>
      <c r="N842" s="239"/>
      <c r="O842" s="239"/>
      <c r="P842" s="239"/>
      <c r="Q842" s="239"/>
      <c r="R842" s="239"/>
      <c r="S842" s="239"/>
      <c r="T842" s="239"/>
    </row>
    <row r="843" spans="1:20" s="82" customFormat="1" ht="25.5" x14ac:dyDescent="0.25">
      <c r="A843" s="24" t="s">
        <v>226</v>
      </c>
      <c r="B843" s="53">
        <v>916</v>
      </c>
      <c r="C843" s="48" t="s">
        <v>29</v>
      </c>
      <c r="D843" s="48" t="s">
        <v>36</v>
      </c>
      <c r="E843" s="48" t="s">
        <v>398</v>
      </c>
      <c r="F843" s="48" t="s">
        <v>59</v>
      </c>
      <c r="G843" s="119">
        <v>1142.5999999999999</v>
      </c>
      <c r="H843" s="119">
        <v>1068.0999999999999</v>
      </c>
      <c r="I843" s="119">
        <v>1068.0999999999999</v>
      </c>
      <c r="J843" s="184"/>
      <c r="K843" s="239"/>
      <c r="L843" s="239"/>
      <c r="M843" s="239"/>
      <c r="N843" s="239"/>
      <c r="O843" s="239"/>
      <c r="P843" s="239"/>
      <c r="Q843" s="239"/>
      <c r="R843" s="239"/>
      <c r="S843" s="239"/>
      <c r="T843" s="239"/>
    </row>
    <row r="844" spans="1:20" s="82" customFormat="1" x14ac:dyDescent="0.25">
      <c r="A844" s="23" t="s">
        <v>400</v>
      </c>
      <c r="B844" s="53">
        <v>916</v>
      </c>
      <c r="C844" s="48" t="s">
        <v>29</v>
      </c>
      <c r="D844" s="48" t="s">
        <v>36</v>
      </c>
      <c r="E844" s="48" t="s">
        <v>399</v>
      </c>
      <c r="F844" s="48"/>
      <c r="G844" s="119">
        <f>G845+G847</f>
        <v>690</v>
      </c>
      <c r="H844" s="119">
        <f t="shared" ref="H844:I844" si="281">H845+H847</f>
        <v>300</v>
      </c>
      <c r="I844" s="119">
        <f t="shared" si="281"/>
        <v>300</v>
      </c>
      <c r="J844" s="239"/>
      <c r="K844" s="239"/>
      <c r="L844" s="239"/>
      <c r="M844" s="239"/>
      <c r="N844" s="239"/>
      <c r="O844" s="239"/>
      <c r="P844" s="239"/>
      <c r="Q844" s="239"/>
      <c r="R844" s="239"/>
      <c r="S844" s="239"/>
      <c r="T844" s="239"/>
    </row>
    <row r="845" spans="1:20" s="82" customFormat="1" ht="38.25" x14ac:dyDescent="0.25">
      <c r="A845" s="24" t="s">
        <v>295</v>
      </c>
      <c r="B845" s="53">
        <v>916</v>
      </c>
      <c r="C845" s="48" t="s">
        <v>29</v>
      </c>
      <c r="D845" s="48" t="s">
        <v>36</v>
      </c>
      <c r="E845" s="48" t="s">
        <v>401</v>
      </c>
      <c r="F845" s="48"/>
      <c r="G845" s="119">
        <f>G846</f>
        <v>200</v>
      </c>
      <c r="H845" s="119">
        <f>H846</f>
        <v>0</v>
      </c>
      <c r="I845" s="119">
        <f>I846</f>
        <v>0</v>
      </c>
      <c r="J845" s="239"/>
      <c r="K845" s="239"/>
      <c r="L845" s="239"/>
      <c r="M845" s="239"/>
      <c r="N845" s="239"/>
      <c r="O845" s="239"/>
      <c r="P845" s="239"/>
      <c r="Q845" s="239"/>
      <c r="R845" s="239"/>
      <c r="S845" s="239"/>
      <c r="T845" s="239"/>
    </row>
    <row r="846" spans="1:20" s="82" customFormat="1" ht="25.5" x14ac:dyDescent="0.25">
      <c r="A846" s="24" t="s">
        <v>226</v>
      </c>
      <c r="B846" s="53">
        <v>916</v>
      </c>
      <c r="C846" s="48" t="s">
        <v>29</v>
      </c>
      <c r="D846" s="48" t="s">
        <v>36</v>
      </c>
      <c r="E846" s="48" t="s">
        <v>401</v>
      </c>
      <c r="F846" s="48" t="s">
        <v>59</v>
      </c>
      <c r="G846" s="119">
        <v>200</v>
      </c>
      <c r="H846" s="119">
        <v>0</v>
      </c>
      <c r="I846" s="119">
        <v>0</v>
      </c>
      <c r="J846" s="184"/>
      <c r="K846" s="239"/>
      <c r="L846" s="239"/>
      <c r="M846" s="239"/>
      <c r="N846" s="239"/>
      <c r="O846" s="239"/>
      <c r="P846" s="239"/>
      <c r="Q846" s="239"/>
      <c r="R846" s="239"/>
      <c r="S846" s="239"/>
      <c r="T846" s="239"/>
    </row>
    <row r="847" spans="1:20" s="82" customFormat="1" ht="25.5" x14ac:dyDescent="0.25">
      <c r="A847" s="24" t="s">
        <v>327</v>
      </c>
      <c r="B847" s="53">
        <v>916</v>
      </c>
      <c r="C847" s="48" t="s">
        <v>29</v>
      </c>
      <c r="D847" s="48" t="s">
        <v>36</v>
      </c>
      <c r="E847" s="48" t="s">
        <v>402</v>
      </c>
      <c r="F847" s="48"/>
      <c r="G847" s="119">
        <f>G848</f>
        <v>490</v>
      </c>
      <c r="H847" s="119">
        <f>H848</f>
        <v>300</v>
      </c>
      <c r="I847" s="119">
        <f>I848</f>
        <v>300</v>
      </c>
      <c r="J847" s="239"/>
      <c r="K847" s="239"/>
      <c r="L847" s="239"/>
      <c r="M847" s="239"/>
      <c r="N847" s="239"/>
      <c r="O847" s="239"/>
      <c r="P847" s="239"/>
      <c r="Q847" s="239"/>
      <c r="R847" s="239"/>
      <c r="S847" s="239"/>
      <c r="T847" s="239"/>
    </row>
    <row r="848" spans="1:20" s="82" customFormat="1" ht="25.5" x14ac:dyDescent="0.25">
      <c r="A848" s="24" t="s">
        <v>226</v>
      </c>
      <c r="B848" s="53">
        <v>916</v>
      </c>
      <c r="C848" s="48" t="s">
        <v>29</v>
      </c>
      <c r="D848" s="48" t="s">
        <v>36</v>
      </c>
      <c r="E848" s="48" t="s">
        <v>402</v>
      </c>
      <c r="F848" s="48" t="s">
        <v>59</v>
      </c>
      <c r="G848" s="119">
        <v>490</v>
      </c>
      <c r="H848" s="119">
        <v>300</v>
      </c>
      <c r="I848" s="119">
        <v>300</v>
      </c>
      <c r="J848" s="239"/>
      <c r="K848" s="239"/>
      <c r="L848" s="239"/>
      <c r="M848" s="239"/>
      <c r="N848" s="239"/>
      <c r="O848" s="239"/>
      <c r="P848" s="239"/>
      <c r="Q848" s="239"/>
      <c r="R848" s="239"/>
      <c r="S848" s="239"/>
      <c r="T848" s="239"/>
    </row>
    <row r="849" spans="1:20" s="82" customFormat="1" x14ac:dyDescent="0.25">
      <c r="A849" s="24" t="s">
        <v>94</v>
      </c>
      <c r="B849" s="53">
        <v>916</v>
      </c>
      <c r="C849" s="48" t="s">
        <v>29</v>
      </c>
      <c r="D849" s="48" t="s">
        <v>36</v>
      </c>
      <c r="E849" s="48" t="s">
        <v>120</v>
      </c>
      <c r="F849" s="48"/>
      <c r="G849" s="119">
        <f>G850</f>
        <v>52.9</v>
      </c>
      <c r="H849" s="119">
        <f t="shared" ref="H849:I850" si="282">H850</f>
        <v>52.9</v>
      </c>
      <c r="I849" s="119">
        <f t="shared" si="282"/>
        <v>52.9</v>
      </c>
      <c r="J849" s="239"/>
      <c r="K849" s="239"/>
      <c r="L849" s="239"/>
      <c r="M849" s="239"/>
      <c r="N849" s="239"/>
      <c r="O849" s="239"/>
      <c r="P849" s="239"/>
      <c r="Q849" s="239"/>
      <c r="R849" s="239"/>
      <c r="S849" s="239"/>
      <c r="T849" s="239"/>
    </row>
    <row r="850" spans="1:20" s="82" customFormat="1" x14ac:dyDescent="0.25">
      <c r="A850" s="24" t="s">
        <v>379</v>
      </c>
      <c r="B850" s="53">
        <v>916</v>
      </c>
      <c r="C850" s="48" t="s">
        <v>29</v>
      </c>
      <c r="D850" s="48" t="s">
        <v>36</v>
      </c>
      <c r="E850" s="48" t="s">
        <v>380</v>
      </c>
      <c r="F850" s="48"/>
      <c r="G850" s="119">
        <f>G851</f>
        <v>52.9</v>
      </c>
      <c r="H850" s="119">
        <f t="shared" si="282"/>
        <v>52.9</v>
      </c>
      <c r="I850" s="119">
        <f t="shared" si="282"/>
        <v>52.9</v>
      </c>
      <c r="J850" s="239"/>
      <c r="K850" s="239"/>
      <c r="L850" s="239"/>
      <c r="M850" s="239"/>
      <c r="N850" s="239"/>
      <c r="O850" s="239"/>
      <c r="P850" s="239"/>
      <c r="Q850" s="239"/>
      <c r="R850" s="239"/>
      <c r="S850" s="239"/>
      <c r="T850" s="239"/>
    </row>
    <row r="851" spans="1:20" s="82" customFormat="1" ht="25.5" x14ac:dyDescent="0.25">
      <c r="A851" s="24" t="s">
        <v>226</v>
      </c>
      <c r="B851" s="53">
        <v>916</v>
      </c>
      <c r="C851" s="48" t="s">
        <v>29</v>
      </c>
      <c r="D851" s="48" t="s">
        <v>36</v>
      </c>
      <c r="E851" s="48" t="s">
        <v>380</v>
      </c>
      <c r="F851" s="48" t="s">
        <v>59</v>
      </c>
      <c r="G851" s="119">
        <v>52.9</v>
      </c>
      <c r="H851" s="119">
        <v>52.9</v>
      </c>
      <c r="I851" s="119">
        <v>52.9</v>
      </c>
      <c r="J851" s="141"/>
      <c r="K851" s="141"/>
      <c r="L851" s="141"/>
      <c r="M851" s="239"/>
      <c r="N851" s="239"/>
      <c r="O851" s="239"/>
      <c r="P851" s="239"/>
      <c r="Q851" s="239"/>
      <c r="R851" s="239"/>
      <c r="S851" s="239"/>
      <c r="T851" s="239"/>
    </row>
    <row r="852" spans="1:20" s="82" customFormat="1" ht="50.25" customHeight="1" x14ac:dyDescent="0.25">
      <c r="A852" s="86" t="s">
        <v>96</v>
      </c>
      <c r="B852" s="44">
        <v>917</v>
      </c>
      <c r="C852" s="86"/>
      <c r="D852" s="86"/>
      <c r="E852" s="86"/>
      <c r="F852" s="86"/>
      <c r="G852" s="116">
        <f>G853+G884</f>
        <v>1809196.7000000004</v>
      </c>
      <c r="H852" s="116">
        <f>H853+H884</f>
        <v>934305.7</v>
      </c>
      <c r="I852" s="116">
        <f>I853+I884</f>
        <v>997848.7</v>
      </c>
      <c r="J852" s="170"/>
      <c r="K852" s="170"/>
      <c r="L852" s="170"/>
      <c r="M852" s="239"/>
      <c r="N852" s="239"/>
      <c r="O852" s="239"/>
      <c r="P852" s="239"/>
      <c r="Q852" s="239"/>
      <c r="R852" s="239"/>
      <c r="S852" s="239"/>
      <c r="T852" s="239"/>
    </row>
    <row r="853" spans="1:20" s="82" customFormat="1" x14ac:dyDescent="0.25">
      <c r="A853" s="24" t="s">
        <v>5</v>
      </c>
      <c r="B853" s="53">
        <v>917</v>
      </c>
      <c r="C853" s="48" t="s">
        <v>29</v>
      </c>
      <c r="D853" s="48"/>
      <c r="E853" s="48"/>
      <c r="F853" s="44"/>
      <c r="G853" s="119">
        <f>G862+G858+G854</f>
        <v>581622.00000000023</v>
      </c>
      <c r="H853" s="119">
        <f>H862+H858+H854</f>
        <v>455287.9</v>
      </c>
      <c r="I853" s="119">
        <f>I862+I858+I854</f>
        <v>454628.7</v>
      </c>
      <c r="J853" s="170"/>
      <c r="K853" s="170"/>
      <c r="L853" s="170"/>
      <c r="M853" s="239"/>
      <c r="N853" s="239"/>
      <c r="O853" s="239"/>
      <c r="P853" s="239"/>
      <c r="Q853" s="239"/>
      <c r="R853" s="239"/>
      <c r="S853" s="239"/>
      <c r="T853" s="239"/>
    </row>
    <row r="854" spans="1:20" s="82" customFormat="1" x14ac:dyDescent="0.25">
      <c r="A854" s="24" t="s">
        <v>23</v>
      </c>
      <c r="B854" s="53">
        <v>917</v>
      </c>
      <c r="C854" s="48" t="s">
        <v>29</v>
      </c>
      <c r="D854" s="48" t="s">
        <v>37</v>
      </c>
      <c r="E854" s="48"/>
      <c r="F854" s="44"/>
      <c r="G854" s="119">
        <f>G855</f>
        <v>5018.8</v>
      </c>
      <c r="H854" s="119">
        <f t="shared" ref="H854:I855" si="283">H855</f>
        <v>9887.1</v>
      </c>
      <c r="I854" s="119">
        <f t="shared" si="283"/>
        <v>9887.1</v>
      </c>
      <c r="J854" s="170"/>
      <c r="K854" s="170"/>
      <c r="L854" s="170"/>
      <c r="M854" s="239"/>
      <c r="N854" s="239"/>
      <c r="O854" s="239"/>
      <c r="P854" s="239"/>
      <c r="Q854" s="239"/>
      <c r="R854" s="239"/>
      <c r="S854" s="239"/>
      <c r="T854" s="239"/>
    </row>
    <row r="855" spans="1:20" s="82" customFormat="1" ht="25.5" x14ac:dyDescent="0.25">
      <c r="A855" s="23" t="s">
        <v>99</v>
      </c>
      <c r="B855" s="53">
        <v>917</v>
      </c>
      <c r="C855" s="48" t="s">
        <v>29</v>
      </c>
      <c r="D855" s="48" t="s">
        <v>37</v>
      </c>
      <c r="E855" s="48" t="s">
        <v>101</v>
      </c>
      <c r="F855" s="44"/>
      <c r="G855" s="119">
        <f>G856</f>
        <v>5018.8</v>
      </c>
      <c r="H855" s="119">
        <f t="shared" si="283"/>
        <v>9887.1</v>
      </c>
      <c r="I855" s="119">
        <f t="shared" si="283"/>
        <v>9887.1</v>
      </c>
      <c r="J855" s="239"/>
      <c r="K855" s="170"/>
      <c r="L855" s="170"/>
      <c r="M855" s="239"/>
      <c r="N855" s="239"/>
      <c r="O855" s="239"/>
      <c r="P855" s="239"/>
      <c r="Q855" s="239"/>
      <c r="R855" s="239"/>
      <c r="S855" s="239"/>
      <c r="T855" s="239"/>
    </row>
    <row r="856" spans="1:20" s="82" customFormat="1" ht="25.5" x14ac:dyDescent="0.25">
      <c r="A856" s="24" t="s">
        <v>372</v>
      </c>
      <c r="B856" s="53">
        <v>917</v>
      </c>
      <c r="C856" s="48" t="s">
        <v>29</v>
      </c>
      <c r="D856" s="48" t="s">
        <v>37</v>
      </c>
      <c r="E856" s="48" t="s">
        <v>861</v>
      </c>
      <c r="F856" s="48"/>
      <c r="G856" s="119">
        <f>G857</f>
        <v>5018.8</v>
      </c>
      <c r="H856" s="119">
        <f t="shared" ref="H856:I856" si="284">H857</f>
        <v>9887.1</v>
      </c>
      <c r="I856" s="119">
        <f t="shared" si="284"/>
        <v>9887.1</v>
      </c>
      <c r="J856" s="239"/>
      <c r="K856" s="170"/>
      <c r="L856" s="170"/>
      <c r="M856" s="239"/>
      <c r="N856" s="239"/>
      <c r="O856" s="239"/>
      <c r="P856" s="239"/>
      <c r="Q856" s="239"/>
      <c r="R856" s="239"/>
      <c r="S856" s="239"/>
      <c r="T856" s="239"/>
    </row>
    <row r="857" spans="1:20" s="82" customFormat="1" ht="25.5" x14ac:dyDescent="0.25">
      <c r="A857" s="24" t="s">
        <v>226</v>
      </c>
      <c r="B857" s="53">
        <v>917</v>
      </c>
      <c r="C857" s="48" t="s">
        <v>29</v>
      </c>
      <c r="D857" s="48" t="s">
        <v>37</v>
      </c>
      <c r="E857" s="48" t="s">
        <v>861</v>
      </c>
      <c r="F857" s="48" t="s">
        <v>59</v>
      </c>
      <c r="G857" s="119">
        <f>9887.1-4868.3</f>
        <v>5018.8</v>
      </c>
      <c r="H857" s="119">
        <v>9887.1</v>
      </c>
      <c r="I857" s="119">
        <v>9887.1</v>
      </c>
      <c r="J857" s="239"/>
      <c r="K857" s="239"/>
      <c r="L857" s="239"/>
      <c r="M857" s="239"/>
      <c r="N857" s="239"/>
      <c r="O857" s="239"/>
      <c r="P857" s="239"/>
      <c r="Q857" s="239"/>
      <c r="R857" s="239"/>
      <c r="S857" s="239"/>
      <c r="T857" s="239"/>
    </row>
    <row r="858" spans="1:20" s="82" customFormat="1" x14ac:dyDescent="0.25">
      <c r="A858" s="24" t="s">
        <v>325</v>
      </c>
      <c r="B858" s="53">
        <v>917</v>
      </c>
      <c r="C858" s="48" t="s">
        <v>29</v>
      </c>
      <c r="D858" s="48" t="s">
        <v>35</v>
      </c>
      <c r="E858" s="48"/>
      <c r="F858" s="44"/>
      <c r="G858" s="119">
        <f t="shared" ref="G858:I860" si="285">G859</f>
        <v>1678.3</v>
      </c>
      <c r="H858" s="119">
        <f t="shared" si="285"/>
        <v>81.400000000000006</v>
      </c>
      <c r="I858" s="119">
        <f t="shared" si="285"/>
        <v>84.7</v>
      </c>
      <c r="J858" s="239"/>
      <c r="K858" s="239"/>
      <c r="L858" s="239"/>
      <c r="M858" s="239"/>
      <c r="N858" s="239"/>
      <c r="O858" s="239"/>
      <c r="P858" s="239"/>
      <c r="Q858" s="239"/>
      <c r="R858" s="239"/>
      <c r="S858" s="239"/>
      <c r="T858" s="239"/>
    </row>
    <row r="859" spans="1:20" s="82" customFormat="1" ht="25.5" x14ac:dyDescent="0.25">
      <c r="A859" s="24" t="s">
        <v>321</v>
      </c>
      <c r="B859" s="53">
        <v>917</v>
      </c>
      <c r="C859" s="48" t="s">
        <v>29</v>
      </c>
      <c r="D859" s="48" t="s">
        <v>35</v>
      </c>
      <c r="E859" s="48" t="s">
        <v>322</v>
      </c>
      <c r="F859" s="44"/>
      <c r="G859" s="119">
        <f t="shared" si="285"/>
        <v>1678.3</v>
      </c>
      <c r="H859" s="119">
        <f t="shared" si="285"/>
        <v>81.400000000000006</v>
      </c>
      <c r="I859" s="119">
        <f t="shared" si="285"/>
        <v>84.7</v>
      </c>
      <c r="J859" s="140"/>
      <c r="K859" s="140"/>
      <c r="L859" s="140"/>
      <c r="M859" s="239"/>
      <c r="N859" s="239"/>
      <c r="O859" s="239"/>
      <c r="P859" s="239"/>
      <c r="Q859" s="239"/>
      <c r="R859" s="239"/>
      <c r="S859" s="239"/>
      <c r="T859" s="239"/>
    </row>
    <row r="860" spans="1:20" s="82" customFormat="1" ht="25.5" x14ac:dyDescent="0.25">
      <c r="A860" s="24" t="s">
        <v>549</v>
      </c>
      <c r="B860" s="53">
        <v>917</v>
      </c>
      <c r="C860" s="48" t="s">
        <v>29</v>
      </c>
      <c r="D860" s="48" t="s">
        <v>35</v>
      </c>
      <c r="E860" s="48" t="s">
        <v>571</v>
      </c>
      <c r="F860" s="48"/>
      <c r="G860" s="119">
        <f>G861</f>
        <v>1678.3</v>
      </c>
      <c r="H860" s="119">
        <f t="shared" si="285"/>
        <v>81.400000000000006</v>
      </c>
      <c r="I860" s="119">
        <f t="shared" si="285"/>
        <v>84.7</v>
      </c>
      <c r="J860" s="239"/>
      <c r="K860" s="239"/>
      <c r="L860" s="239"/>
      <c r="M860" s="239"/>
      <c r="N860" s="239"/>
      <c r="O860" s="239"/>
      <c r="P860" s="239"/>
      <c r="Q860" s="239"/>
      <c r="R860" s="239"/>
      <c r="S860" s="239"/>
      <c r="T860" s="239"/>
    </row>
    <row r="861" spans="1:20" s="82" customFormat="1" ht="28.5" customHeight="1" x14ac:dyDescent="0.25">
      <c r="A861" s="24" t="s">
        <v>226</v>
      </c>
      <c r="B861" s="53">
        <v>917</v>
      </c>
      <c r="C861" s="48" t="s">
        <v>29</v>
      </c>
      <c r="D861" s="48" t="s">
        <v>35</v>
      </c>
      <c r="E861" s="48" t="s">
        <v>571</v>
      </c>
      <c r="F861" s="48" t="s">
        <v>59</v>
      </c>
      <c r="G861" s="119">
        <f>78.3+1200+400</f>
        <v>1678.3</v>
      </c>
      <c r="H861" s="119">
        <v>81.400000000000006</v>
      </c>
      <c r="I861" s="119">
        <v>84.7</v>
      </c>
      <c r="J861" s="184"/>
      <c r="K861" s="239"/>
      <c r="L861" s="239"/>
      <c r="M861" s="239"/>
      <c r="N861" s="239"/>
      <c r="O861" s="239"/>
      <c r="P861" s="239"/>
      <c r="Q861" s="239"/>
      <c r="R861" s="239"/>
      <c r="S861" s="239"/>
      <c r="T861" s="239"/>
    </row>
    <row r="862" spans="1:20" s="82" customFormat="1" ht="19.5" customHeight="1" x14ac:dyDescent="0.25">
      <c r="A862" s="24" t="s">
        <v>54</v>
      </c>
      <c r="B862" s="53">
        <v>917</v>
      </c>
      <c r="C862" s="48" t="s">
        <v>29</v>
      </c>
      <c r="D862" s="48" t="s">
        <v>34</v>
      </c>
      <c r="E862" s="48"/>
      <c r="F862" s="44"/>
      <c r="G862" s="119">
        <f>G863</f>
        <v>574924.90000000014</v>
      </c>
      <c r="H862" s="119">
        <f t="shared" ref="H862:I862" si="286">H863</f>
        <v>445319.4</v>
      </c>
      <c r="I862" s="119">
        <f t="shared" si="286"/>
        <v>444656.9</v>
      </c>
      <c r="J862" s="239"/>
      <c r="K862" s="140"/>
      <c r="L862" s="239"/>
      <c r="M862" s="239"/>
      <c r="N862" s="239"/>
      <c r="O862" s="239"/>
      <c r="P862" s="239"/>
      <c r="Q862" s="239"/>
      <c r="R862" s="239"/>
      <c r="S862" s="239"/>
      <c r="T862" s="239"/>
    </row>
    <row r="863" spans="1:20" s="82" customFormat="1" ht="25.5" x14ac:dyDescent="0.25">
      <c r="A863" s="24" t="s">
        <v>550</v>
      </c>
      <c r="B863" s="53">
        <v>917</v>
      </c>
      <c r="C863" s="48" t="s">
        <v>29</v>
      </c>
      <c r="D863" s="48" t="s">
        <v>34</v>
      </c>
      <c r="E863" s="48" t="s">
        <v>121</v>
      </c>
      <c r="F863" s="48"/>
      <c r="G863" s="119">
        <f>G864</f>
        <v>574924.90000000014</v>
      </c>
      <c r="H863" s="119">
        <f>H864</f>
        <v>445319.4</v>
      </c>
      <c r="I863" s="119">
        <f>I864</f>
        <v>444656.9</v>
      </c>
      <c r="J863" s="239"/>
      <c r="K863" s="239"/>
      <c r="L863" s="239"/>
      <c r="M863" s="239"/>
      <c r="N863" s="239"/>
      <c r="O863" s="239"/>
      <c r="P863" s="239"/>
      <c r="Q863" s="239"/>
      <c r="R863" s="239"/>
      <c r="S863" s="239"/>
      <c r="T863" s="239"/>
    </row>
    <row r="864" spans="1:20" s="82" customFormat="1" x14ac:dyDescent="0.25">
      <c r="A864" s="24" t="s">
        <v>775</v>
      </c>
      <c r="B864" s="53">
        <v>917</v>
      </c>
      <c r="C864" s="48" t="s">
        <v>29</v>
      </c>
      <c r="D864" s="48" t="s">
        <v>34</v>
      </c>
      <c r="E864" s="48" t="s">
        <v>184</v>
      </c>
      <c r="F864" s="48"/>
      <c r="G864" s="119">
        <f>G865+G869+G876+G881</f>
        <v>574924.90000000014</v>
      </c>
      <c r="H864" s="119">
        <f>H865+H869+H876+H881</f>
        <v>445319.4</v>
      </c>
      <c r="I864" s="119">
        <f>I865+I869+I876+I881</f>
        <v>444656.9</v>
      </c>
      <c r="J864" s="239"/>
      <c r="K864" s="239"/>
      <c r="L864" s="239"/>
      <c r="M864" s="239"/>
      <c r="N864" s="239"/>
      <c r="O864" s="239"/>
      <c r="P864" s="239"/>
      <c r="Q864" s="239"/>
      <c r="R864" s="239"/>
      <c r="S864" s="239"/>
      <c r="T864" s="239"/>
    </row>
    <row r="865" spans="1:20" s="82" customFormat="1" ht="25.5" x14ac:dyDescent="0.25">
      <c r="A865" s="24" t="s">
        <v>829</v>
      </c>
      <c r="B865" s="53">
        <v>917</v>
      </c>
      <c r="C865" s="48" t="s">
        <v>29</v>
      </c>
      <c r="D865" s="48" t="s">
        <v>34</v>
      </c>
      <c r="E865" s="48" t="s">
        <v>185</v>
      </c>
      <c r="F865" s="48"/>
      <c r="G865" s="123">
        <f>G866</f>
        <v>120989.30000000002</v>
      </c>
      <c r="H865" s="123">
        <f t="shared" ref="H865:I865" si="287">H866</f>
        <v>187411.9</v>
      </c>
      <c r="I865" s="123">
        <f t="shared" si="287"/>
        <v>164267.4</v>
      </c>
      <c r="J865" s="239"/>
      <c r="K865" s="239"/>
      <c r="L865" s="239"/>
      <c r="M865" s="239"/>
      <c r="N865" s="239"/>
      <c r="O865" s="239"/>
      <c r="P865" s="239"/>
      <c r="Q865" s="239"/>
      <c r="R865" s="239"/>
      <c r="S865" s="239"/>
      <c r="T865" s="239"/>
    </row>
    <row r="866" spans="1:20" s="82" customFormat="1" ht="25.5" x14ac:dyDescent="0.25">
      <c r="A866" s="24" t="s">
        <v>552</v>
      </c>
      <c r="B866" s="53">
        <v>917</v>
      </c>
      <c r="C866" s="48" t="s">
        <v>29</v>
      </c>
      <c r="D866" s="48" t="s">
        <v>34</v>
      </c>
      <c r="E866" s="48" t="s">
        <v>551</v>
      </c>
      <c r="F866" s="48"/>
      <c r="G866" s="119">
        <f>G867+G868</f>
        <v>120989.30000000002</v>
      </c>
      <c r="H866" s="119">
        <f t="shared" ref="H866:I866" si="288">H867+H868</f>
        <v>187411.9</v>
      </c>
      <c r="I866" s="119">
        <f t="shared" si="288"/>
        <v>164267.4</v>
      </c>
      <c r="J866" s="239"/>
      <c r="K866" s="239"/>
      <c r="L866" s="239"/>
      <c r="M866" s="239"/>
      <c r="N866" s="239"/>
      <c r="O866" s="239"/>
      <c r="P866" s="239"/>
      <c r="Q866" s="239"/>
      <c r="R866" s="239"/>
      <c r="S866" s="239"/>
      <c r="T866" s="239"/>
    </row>
    <row r="867" spans="1:20" s="82" customFormat="1" ht="28.5" customHeight="1" x14ac:dyDescent="0.25">
      <c r="A867" s="24" t="s">
        <v>226</v>
      </c>
      <c r="B867" s="53">
        <v>917</v>
      </c>
      <c r="C867" s="48" t="s">
        <v>29</v>
      </c>
      <c r="D867" s="48" t="s">
        <v>34</v>
      </c>
      <c r="E867" s="48" t="s">
        <v>551</v>
      </c>
      <c r="F867" s="48" t="s">
        <v>59</v>
      </c>
      <c r="G867" s="119">
        <f>133486.1-596.9+354.9-9863.9-2400-220-4005.4-1433.3-98.3</f>
        <v>115223.20000000001</v>
      </c>
      <c r="H867" s="119">
        <f>69569.4+47842.5+70000</f>
        <v>187411.9</v>
      </c>
      <c r="I867" s="119">
        <v>164267.4</v>
      </c>
      <c r="J867" s="234"/>
      <c r="K867" s="184"/>
      <c r="L867" s="239"/>
      <c r="M867" s="239"/>
      <c r="N867" s="239"/>
      <c r="O867" s="239"/>
      <c r="P867" s="239"/>
      <c r="Q867" s="239"/>
      <c r="R867" s="239"/>
      <c r="S867" s="239"/>
      <c r="T867" s="239"/>
    </row>
    <row r="868" spans="1:20" s="82" customFormat="1" ht="28.5" customHeight="1" x14ac:dyDescent="0.25">
      <c r="A868" s="24" t="s">
        <v>227</v>
      </c>
      <c r="B868" s="53">
        <v>917</v>
      </c>
      <c r="C868" s="48" t="s">
        <v>29</v>
      </c>
      <c r="D868" s="48" t="s">
        <v>34</v>
      </c>
      <c r="E868" s="48" t="s">
        <v>551</v>
      </c>
      <c r="F868" s="48" t="s">
        <v>193</v>
      </c>
      <c r="G868" s="119">
        <v>5766.1</v>
      </c>
      <c r="H868" s="119">
        <v>0</v>
      </c>
      <c r="I868" s="119">
        <v>0</v>
      </c>
      <c r="J868" s="189"/>
      <c r="K868" s="184"/>
      <c r="L868" s="239"/>
      <c r="M868" s="239"/>
      <c r="N868" s="239"/>
      <c r="O868" s="239"/>
      <c r="P868" s="239"/>
      <c r="Q868" s="239"/>
      <c r="R868" s="239"/>
      <c r="S868" s="239"/>
      <c r="T868" s="239"/>
    </row>
    <row r="869" spans="1:20" s="82" customFormat="1" x14ac:dyDescent="0.25">
      <c r="A869" s="24" t="s">
        <v>830</v>
      </c>
      <c r="B869" s="53">
        <v>917</v>
      </c>
      <c r="C869" s="48" t="s">
        <v>29</v>
      </c>
      <c r="D869" s="48" t="s">
        <v>34</v>
      </c>
      <c r="E869" s="48" t="s">
        <v>186</v>
      </c>
      <c r="F869" s="48"/>
      <c r="G869" s="119">
        <f>G870+G873</f>
        <v>270708.40000000002</v>
      </c>
      <c r="H869" s="119">
        <f>H870+H873</f>
        <v>52631.600000000006</v>
      </c>
      <c r="I869" s="119">
        <f>I870+I873</f>
        <v>75113.600000000006</v>
      </c>
      <c r="J869" s="140"/>
      <c r="K869" s="239"/>
      <c r="L869" s="239"/>
      <c r="M869" s="239"/>
      <c r="N869" s="239"/>
      <c r="O869" s="239"/>
      <c r="P869" s="141"/>
      <c r="Q869" s="141"/>
      <c r="R869" s="141"/>
      <c r="S869" s="239"/>
      <c r="T869" s="239"/>
    </row>
    <row r="870" spans="1:20" s="82" customFormat="1" ht="25.5" x14ac:dyDescent="0.25">
      <c r="A870" s="24" t="s">
        <v>552</v>
      </c>
      <c r="B870" s="53">
        <v>917</v>
      </c>
      <c r="C870" s="48" t="s">
        <v>29</v>
      </c>
      <c r="D870" s="48" t="s">
        <v>34</v>
      </c>
      <c r="E870" s="48" t="s">
        <v>553</v>
      </c>
      <c r="F870" s="48"/>
      <c r="G870" s="119">
        <f>G871+G872</f>
        <v>46061.899999999994</v>
      </c>
      <c r="H870" s="119">
        <f t="shared" ref="H870:I870" si="289">H871</f>
        <v>52631.600000000006</v>
      </c>
      <c r="I870" s="119">
        <f t="shared" si="289"/>
        <v>75113.600000000006</v>
      </c>
      <c r="J870" s="239"/>
      <c r="K870" s="239"/>
      <c r="L870" s="239"/>
      <c r="M870" s="239"/>
      <c r="N870" s="239"/>
      <c r="O870" s="239"/>
      <c r="P870" s="239"/>
      <c r="Q870" s="239"/>
      <c r="R870" s="239"/>
      <c r="S870" s="239"/>
      <c r="T870" s="239"/>
    </row>
    <row r="871" spans="1:20" s="82" customFormat="1" ht="25.5" x14ac:dyDescent="0.25">
      <c r="A871" s="24" t="s">
        <v>226</v>
      </c>
      <c r="B871" s="53">
        <v>917</v>
      </c>
      <c r="C871" s="48" t="s">
        <v>29</v>
      </c>
      <c r="D871" s="48" t="s">
        <v>34</v>
      </c>
      <c r="E871" s="48" t="s">
        <v>553</v>
      </c>
      <c r="F871" s="48" t="s">
        <v>59</v>
      </c>
      <c r="G871" s="119">
        <f>26569.6+59.8+20428.3-227.9-2020.2-1800+283.5+146.1</f>
        <v>43439.199999999997</v>
      </c>
      <c r="H871" s="119">
        <f>53547.8-916.2</f>
        <v>52631.600000000006</v>
      </c>
      <c r="I871" s="119">
        <f>76029.8-916.2</f>
        <v>75113.600000000006</v>
      </c>
      <c r="J871" s="184"/>
      <c r="K871" s="184"/>
      <c r="L871" s="184"/>
      <c r="M871" s="239"/>
      <c r="N871" s="239"/>
      <c r="O871" s="239"/>
      <c r="P871" s="239"/>
      <c r="Q871" s="239"/>
      <c r="R871" s="239"/>
      <c r="S871" s="239"/>
      <c r="T871" s="239"/>
    </row>
    <row r="872" spans="1:20" s="82" customFormat="1" ht="25.5" x14ac:dyDescent="0.25">
      <c r="A872" s="24" t="s">
        <v>227</v>
      </c>
      <c r="B872" s="53">
        <v>917</v>
      </c>
      <c r="C872" s="48" t="s">
        <v>29</v>
      </c>
      <c r="D872" s="48" t="s">
        <v>34</v>
      </c>
      <c r="E872" s="48" t="s">
        <v>553</v>
      </c>
      <c r="F872" s="48" t="s">
        <v>193</v>
      </c>
      <c r="G872" s="119">
        <f>146.7+877.7+227.9+1800-283.5-146.1</f>
        <v>2622.7000000000003</v>
      </c>
      <c r="H872" s="119">
        <v>0</v>
      </c>
      <c r="I872" s="119">
        <v>0</v>
      </c>
      <c r="J872" s="184"/>
      <c r="K872" s="184"/>
      <c r="L872" s="184"/>
      <c r="M872" s="239"/>
      <c r="N872" s="239"/>
      <c r="O872" s="239"/>
      <c r="P872" s="141"/>
      <c r="Q872" s="141"/>
      <c r="R872" s="141"/>
      <c r="S872" s="239"/>
      <c r="T872" s="239"/>
    </row>
    <row r="873" spans="1:20" s="82" customFormat="1" ht="25.5" x14ac:dyDescent="0.25">
      <c r="A873" s="24" t="s">
        <v>554</v>
      </c>
      <c r="B873" s="53">
        <v>917</v>
      </c>
      <c r="C873" s="48" t="s">
        <v>29</v>
      </c>
      <c r="D873" s="48" t="s">
        <v>34</v>
      </c>
      <c r="E873" s="48" t="s">
        <v>938</v>
      </c>
      <c r="F873" s="48"/>
      <c r="G873" s="119">
        <f>G874+G875</f>
        <v>224646.5</v>
      </c>
      <c r="H873" s="119">
        <f t="shared" ref="H873:I873" si="290">H874+H875</f>
        <v>0</v>
      </c>
      <c r="I873" s="119">
        <f t="shared" si="290"/>
        <v>0</v>
      </c>
      <c r="J873" s="184"/>
      <c r="K873" s="184"/>
      <c r="L873" s="184"/>
      <c r="M873" s="239"/>
      <c r="N873" s="239"/>
      <c r="O873" s="239"/>
      <c r="P873" s="239"/>
      <c r="Q873" s="239"/>
      <c r="R873" s="239"/>
      <c r="S873" s="239"/>
      <c r="T873" s="239"/>
    </row>
    <row r="874" spans="1:20" s="82" customFormat="1" ht="25.5" x14ac:dyDescent="0.25">
      <c r="A874" s="24" t="s">
        <v>226</v>
      </c>
      <c r="B874" s="53">
        <v>917</v>
      </c>
      <c r="C874" s="48" t="s">
        <v>29</v>
      </c>
      <c r="D874" s="48" t="s">
        <v>34</v>
      </c>
      <c r="E874" s="48" t="s">
        <v>938</v>
      </c>
      <c r="F874" s="48" t="s">
        <v>59</v>
      </c>
      <c r="G874" s="119">
        <f>1023.9-381.2-496.5-146.2+200000+2020.2</f>
        <v>202020.2</v>
      </c>
      <c r="H874" s="119">
        <f>1023.9-1023.9</f>
        <v>0</v>
      </c>
      <c r="I874" s="119">
        <f>1023.9-1023.9</f>
        <v>0</v>
      </c>
      <c r="J874" s="184"/>
      <c r="K874" s="184"/>
      <c r="L874" s="184"/>
      <c r="M874" s="239"/>
      <c r="N874" s="239"/>
      <c r="O874" s="239"/>
      <c r="P874" s="239"/>
      <c r="Q874" s="239"/>
      <c r="R874" s="239"/>
      <c r="S874" s="239"/>
      <c r="T874" s="239"/>
    </row>
    <row r="875" spans="1:20" s="82" customFormat="1" ht="25.5" x14ac:dyDescent="0.25">
      <c r="A875" s="24" t="s">
        <v>227</v>
      </c>
      <c r="B875" s="53">
        <v>917</v>
      </c>
      <c r="C875" s="48" t="s">
        <v>29</v>
      </c>
      <c r="D875" s="48" t="s">
        <v>34</v>
      </c>
      <c r="E875" s="48" t="s">
        <v>938</v>
      </c>
      <c r="F875" s="48" t="s">
        <v>193</v>
      </c>
      <c r="G875" s="119">
        <f>22480.1+146.2</f>
        <v>22626.3</v>
      </c>
      <c r="H875" s="119">
        <f>80.1-80.1</f>
        <v>0</v>
      </c>
      <c r="I875" s="119">
        <f>80.1-80.1</f>
        <v>0</v>
      </c>
      <c r="J875" s="184"/>
      <c r="K875" s="184"/>
      <c r="L875" s="184"/>
      <c r="M875" s="239"/>
      <c r="N875" s="239"/>
      <c r="O875" s="239"/>
      <c r="P875" s="239"/>
      <c r="Q875" s="239"/>
      <c r="R875" s="239"/>
      <c r="S875" s="239"/>
      <c r="T875" s="239"/>
    </row>
    <row r="876" spans="1:20" s="82" customFormat="1" ht="27" customHeight="1" x14ac:dyDescent="0.25">
      <c r="A876" s="24" t="s">
        <v>831</v>
      </c>
      <c r="B876" s="53">
        <v>917</v>
      </c>
      <c r="C876" s="48" t="s">
        <v>29</v>
      </c>
      <c r="D876" s="48" t="s">
        <v>34</v>
      </c>
      <c r="E876" s="48" t="s">
        <v>599</v>
      </c>
      <c r="F876" s="48"/>
      <c r="G876" s="119">
        <f>G877+G879</f>
        <v>3833.3</v>
      </c>
      <c r="H876" s="119">
        <f t="shared" ref="H876:I876" si="291">H877+H879</f>
        <v>3255.7</v>
      </c>
      <c r="I876" s="119">
        <f t="shared" si="291"/>
        <v>3255.7</v>
      </c>
      <c r="J876" s="239"/>
      <c r="K876" s="239"/>
      <c r="L876" s="239"/>
      <c r="M876" s="239"/>
      <c r="N876" s="239"/>
      <c r="O876" s="239"/>
      <c r="P876" s="239"/>
      <c r="Q876" s="239"/>
      <c r="R876" s="239"/>
      <c r="S876" s="239"/>
      <c r="T876" s="239"/>
    </row>
    <row r="877" spans="1:20" s="82" customFormat="1" ht="25.5" x14ac:dyDescent="0.25">
      <c r="A877" s="24" t="s">
        <v>555</v>
      </c>
      <c r="B877" s="53">
        <v>917</v>
      </c>
      <c r="C877" s="48" t="s">
        <v>29</v>
      </c>
      <c r="D877" s="48" t="s">
        <v>34</v>
      </c>
      <c r="E877" s="48" t="s">
        <v>600</v>
      </c>
      <c r="F877" s="48"/>
      <c r="G877" s="119">
        <f>G878</f>
        <v>500</v>
      </c>
      <c r="H877" s="119">
        <f t="shared" ref="H877:I877" si="292">H878</f>
        <v>255.7</v>
      </c>
      <c r="I877" s="119">
        <f t="shared" si="292"/>
        <v>255.7</v>
      </c>
      <c r="J877" s="239"/>
      <c r="K877" s="239"/>
      <c r="L877" s="239"/>
      <c r="M877" s="239"/>
      <c r="N877" s="239"/>
      <c r="O877" s="239"/>
      <c r="P877" s="239"/>
      <c r="Q877" s="239"/>
      <c r="R877" s="239"/>
      <c r="S877" s="239"/>
      <c r="T877" s="239"/>
    </row>
    <row r="878" spans="1:20" s="82" customFormat="1" ht="25.5" x14ac:dyDescent="0.25">
      <c r="A878" s="24" t="s">
        <v>226</v>
      </c>
      <c r="B878" s="53">
        <v>917</v>
      </c>
      <c r="C878" s="48" t="s">
        <v>29</v>
      </c>
      <c r="D878" s="48" t="s">
        <v>34</v>
      </c>
      <c r="E878" s="48" t="s">
        <v>600</v>
      </c>
      <c r="F878" s="48" t="s">
        <v>59</v>
      </c>
      <c r="G878" s="119">
        <v>500</v>
      </c>
      <c r="H878" s="119">
        <v>255.7</v>
      </c>
      <c r="I878" s="119">
        <v>255.7</v>
      </c>
      <c r="J878" s="239"/>
      <c r="K878" s="239"/>
      <c r="L878" s="239"/>
      <c r="M878" s="239"/>
      <c r="N878" s="239"/>
      <c r="O878" s="239"/>
      <c r="P878" s="239"/>
      <c r="Q878" s="239"/>
      <c r="R878" s="239"/>
      <c r="S878" s="239"/>
      <c r="T878" s="239"/>
    </row>
    <row r="879" spans="1:20" s="82" customFormat="1" ht="25.5" x14ac:dyDescent="0.25">
      <c r="A879" s="24" t="s">
        <v>868</v>
      </c>
      <c r="B879" s="53">
        <v>917</v>
      </c>
      <c r="C879" s="48" t="s">
        <v>29</v>
      </c>
      <c r="D879" s="48" t="s">
        <v>34</v>
      </c>
      <c r="E879" s="48" t="s">
        <v>869</v>
      </c>
      <c r="F879" s="48"/>
      <c r="G879" s="119">
        <f>G880</f>
        <v>3333.3</v>
      </c>
      <c r="H879" s="119">
        <f t="shared" ref="H879:I879" si="293">H880</f>
        <v>3000</v>
      </c>
      <c r="I879" s="119">
        <f t="shared" si="293"/>
        <v>3000</v>
      </c>
      <c r="J879" s="239"/>
      <c r="K879" s="239"/>
      <c r="L879" s="239"/>
      <c r="M879" s="239"/>
      <c r="N879" s="239"/>
      <c r="O879" s="239"/>
      <c r="P879" s="239"/>
      <c r="Q879" s="239"/>
      <c r="R879" s="239"/>
      <c r="S879" s="239"/>
      <c r="T879" s="239"/>
    </row>
    <row r="880" spans="1:20" s="82" customFormat="1" ht="25.5" x14ac:dyDescent="0.25">
      <c r="A880" s="24" t="s">
        <v>226</v>
      </c>
      <c r="B880" s="53">
        <v>917</v>
      </c>
      <c r="C880" s="48" t="s">
        <v>29</v>
      </c>
      <c r="D880" s="48" t="s">
        <v>34</v>
      </c>
      <c r="E880" s="48" t="s">
        <v>869</v>
      </c>
      <c r="F880" s="48" t="s">
        <v>59</v>
      </c>
      <c r="G880" s="119">
        <f>333.3+3000</f>
        <v>3333.3</v>
      </c>
      <c r="H880" s="119">
        <v>3000</v>
      </c>
      <c r="I880" s="119">
        <v>3000</v>
      </c>
      <c r="J880" s="239"/>
      <c r="K880" s="239"/>
      <c r="L880" s="239"/>
      <c r="M880" s="239"/>
      <c r="N880" s="239"/>
      <c r="O880" s="239"/>
      <c r="P880" s="239"/>
      <c r="Q880" s="239"/>
      <c r="R880" s="239"/>
      <c r="S880" s="239"/>
      <c r="T880" s="239"/>
    </row>
    <row r="881" spans="1:20" s="82" customFormat="1" ht="25.5" x14ac:dyDescent="0.25">
      <c r="A881" s="24" t="s">
        <v>844</v>
      </c>
      <c r="B881" s="53">
        <v>917</v>
      </c>
      <c r="C881" s="48" t="s">
        <v>29</v>
      </c>
      <c r="D881" s="48" t="s">
        <v>34</v>
      </c>
      <c r="E881" s="48" t="s">
        <v>939</v>
      </c>
      <c r="F881" s="48"/>
      <c r="G881" s="119">
        <f>G882</f>
        <v>179393.90000000002</v>
      </c>
      <c r="H881" s="119">
        <f t="shared" ref="H881:I882" si="294">H882</f>
        <v>202020.2</v>
      </c>
      <c r="I881" s="119">
        <f t="shared" si="294"/>
        <v>202020.2</v>
      </c>
      <c r="J881" s="239"/>
      <c r="K881" s="239"/>
      <c r="L881" s="239"/>
      <c r="M881" s="239"/>
      <c r="N881" s="239"/>
      <c r="O881" s="239"/>
      <c r="P881" s="239"/>
      <c r="Q881" s="239"/>
      <c r="R881" s="239"/>
      <c r="S881" s="239"/>
      <c r="T881" s="239"/>
    </row>
    <row r="882" spans="1:20" s="82" customFormat="1" ht="51" x14ac:dyDescent="0.25">
      <c r="A882" s="24" t="s">
        <v>941</v>
      </c>
      <c r="B882" s="53">
        <v>917</v>
      </c>
      <c r="C882" s="48" t="s">
        <v>29</v>
      </c>
      <c r="D882" s="48" t="s">
        <v>34</v>
      </c>
      <c r="E882" s="48" t="s">
        <v>940</v>
      </c>
      <c r="F882" s="48"/>
      <c r="G882" s="119">
        <f>G883</f>
        <v>179393.90000000002</v>
      </c>
      <c r="H882" s="119">
        <f t="shared" si="294"/>
        <v>202020.2</v>
      </c>
      <c r="I882" s="119">
        <f t="shared" si="294"/>
        <v>202020.2</v>
      </c>
      <c r="J882" s="239"/>
      <c r="K882" s="239"/>
      <c r="L882" s="239"/>
      <c r="M882" s="239"/>
      <c r="N882" s="239"/>
      <c r="O882" s="239"/>
      <c r="P882" s="239"/>
      <c r="Q882" s="239"/>
      <c r="R882" s="239"/>
      <c r="S882" s="239"/>
      <c r="T882" s="239"/>
    </row>
    <row r="883" spans="1:20" s="82" customFormat="1" ht="25.5" x14ac:dyDescent="0.25">
      <c r="A883" s="24" t="s">
        <v>226</v>
      </c>
      <c r="B883" s="53">
        <v>917</v>
      </c>
      <c r="C883" s="48" t="s">
        <v>29</v>
      </c>
      <c r="D883" s="48" t="s">
        <v>34</v>
      </c>
      <c r="E883" s="48" t="s">
        <v>940</v>
      </c>
      <c r="F883" s="48" t="s">
        <v>59</v>
      </c>
      <c r="G883" s="119">
        <f>199822.2-20428.3</f>
        <v>179393.90000000002</v>
      </c>
      <c r="H883" s="119">
        <f>200000+2020.2</f>
        <v>202020.2</v>
      </c>
      <c r="I883" s="119">
        <f>200000+2020.2</f>
        <v>202020.2</v>
      </c>
      <c r="J883" s="239"/>
      <c r="K883" s="239"/>
      <c r="L883" s="239"/>
      <c r="M883" s="239"/>
      <c r="N883" s="239"/>
      <c r="O883" s="239"/>
      <c r="P883" s="239"/>
      <c r="Q883" s="239"/>
      <c r="R883" s="239"/>
      <c r="S883" s="239"/>
      <c r="T883" s="239"/>
    </row>
    <row r="884" spans="1:20" s="82" customFormat="1" x14ac:dyDescent="0.25">
      <c r="A884" s="24" t="s">
        <v>21</v>
      </c>
      <c r="B884" s="53">
        <v>917</v>
      </c>
      <c r="C884" s="48" t="s">
        <v>37</v>
      </c>
      <c r="D884" s="48"/>
      <c r="E884" s="48"/>
      <c r="F884" s="48"/>
      <c r="G884" s="119">
        <f>G889+G918+G979+G885</f>
        <v>1227574.7000000002</v>
      </c>
      <c r="H884" s="119">
        <f>H889+H918+H979+H885</f>
        <v>479017.8</v>
      </c>
      <c r="I884" s="119">
        <f>I889+I918+I979+I885</f>
        <v>543220</v>
      </c>
      <c r="J884" s="239"/>
      <c r="K884" s="239"/>
      <c r="L884" s="239"/>
      <c r="M884" s="239"/>
      <c r="N884" s="239"/>
      <c r="O884" s="239"/>
      <c r="P884" s="239"/>
      <c r="Q884" s="239"/>
      <c r="R884" s="239"/>
      <c r="S884" s="239"/>
      <c r="T884" s="239"/>
    </row>
    <row r="885" spans="1:20" s="82" customFormat="1" x14ac:dyDescent="0.25">
      <c r="A885" s="24" t="s">
        <v>1016</v>
      </c>
      <c r="B885" s="53">
        <v>917</v>
      </c>
      <c r="C885" s="48" t="s">
        <v>37</v>
      </c>
      <c r="D885" s="48" t="s">
        <v>26</v>
      </c>
      <c r="E885" s="48"/>
      <c r="F885" s="48"/>
      <c r="G885" s="119">
        <f>G886</f>
        <v>925.3</v>
      </c>
      <c r="H885" s="119">
        <f t="shared" ref="H885:I887" si="295">H886</f>
        <v>0</v>
      </c>
      <c r="I885" s="119">
        <f t="shared" si="295"/>
        <v>0</v>
      </c>
      <c r="J885" s="239"/>
      <c r="K885" s="239"/>
      <c r="L885" s="239"/>
      <c r="M885" s="239"/>
      <c r="N885" s="239"/>
      <c r="O885" s="239"/>
      <c r="P885" s="239"/>
      <c r="Q885" s="239"/>
      <c r="R885" s="239"/>
      <c r="S885" s="239"/>
      <c r="T885" s="239"/>
    </row>
    <row r="886" spans="1:20" s="82" customFormat="1" ht="25.5" x14ac:dyDescent="0.25">
      <c r="A886" s="24" t="s">
        <v>321</v>
      </c>
      <c r="B886" s="53">
        <v>917</v>
      </c>
      <c r="C886" s="48" t="s">
        <v>37</v>
      </c>
      <c r="D886" s="48" t="s">
        <v>26</v>
      </c>
      <c r="E886" s="48" t="s">
        <v>322</v>
      </c>
      <c r="F886" s="48"/>
      <c r="G886" s="119">
        <f>G887</f>
        <v>925.3</v>
      </c>
      <c r="H886" s="119">
        <f t="shared" si="295"/>
        <v>0</v>
      </c>
      <c r="I886" s="119">
        <f t="shared" si="295"/>
        <v>0</v>
      </c>
      <c r="J886" s="239"/>
      <c r="K886" s="239"/>
      <c r="L886" s="239"/>
      <c r="M886" s="239"/>
      <c r="N886" s="239"/>
      <c r="O886" s="239"/>
      <c r="P886" s="239"/>
      <c r="Q886" s="239"/>
      <c r="R886" s="239"/>
      <c r="S886" s="239"/>
      <c r="T886" s="239"/>
    </row>
    <row r="887" spans="1:20" s="82" customFormat="1" ht="25.5" x14ac:dyDescent="0.25">
      <c r="A887" s="24" t="s">
        <v>1018</v>
      </c>
      <c r="B887" s="53">
        <v>917</v>
      </c>
      <c r="C887" s="48" t="s">
        <v>37</v>
      </c>
      <c r="D887" s="48" t="s">
        <v>26</v>
      </c>
      <c r="E887" s="48" t="s">
        <v>1017</v>
      </c>
      <c r="F887" s="48"/>
      <c r="G887" s="119">
        <f>G888</f>
        <v>925.3</v>
      </c>
      <c r="H887" s="119">
        <f t="shared" si="295"/>
        <v>0</v>
      </c>
      <c r="I887" s="119">
        <f t="shared" si="295"/>
        <v>0</v>
      </c>
      <c r="J887" s="239"/>
      <c r="K887" s="239"/>
      <c r="L887" s="239"/>
      <c r="M887" s="239"/>
      <c r="N887" s="239"/>
      <c r="O887" s="239"/>
      <c r="P887" s="239"/>
      <c r="Q887" s="239"/>
      <c r="R887" s="239"/>
      <c r="S887" s="239"/>
      <c r="T887" s="239"/>
    </row>
    <row r="888" spans="1:20" s="82" customFormat="1" ht="25.5" x14ac:dyDescent="0.25">
      <c r="A888" s="24" t="s">
        <v>226</v>
      </c>
      <c r="B888" s="53">
        <v>917</v>
      </c>
      <c r="C888" s="48" t="s">
        <v>37</v>
      </c>
      <c r="D888" s="48" t="s">
        <v>26</v>
      </c>
      <c r="E888" s="48" t="s">
        <v>1017</v>
      </c>
      <c r="F888" s="48" t="s">
        <v>59</v>
      </c>
      <c r="G888" s="119">
        <v>925.3</v>
      </c>
      <c r="H888" s="119">
        <v>0</v>
      </c>
      <c r="I888" s="119">
        <v>0</v>
      </c>
      <c r="J888" s="239"/>
      <c r="K888" s="239"/>
      <c r="L888" s="239"/>
      <c r="M888" s="239"/>
      <c r="N888" s="239"/>
      <c r="O888" s="239"/>
      <c r="P888" s="239"/>
      <c r="Q888" s="239"/>
      <c r="R888" s="239"/>
      <c r="S888" s="239"/>
      <c r="T888" s="239"/>
    </row>
    <row r="889" spans="1:20" s="82" customFormat="1" ht="18" customHeight="1" x14ac:dyDescent="0.25">
      <c r="A889" s="24" t="s">
        <v>42</v>
      </c>
      <c r="B889" s="53">
        <v>917</v>
      </c>
      <c r="C889" s="48" t="s">
        <v>37</v>
      </c>
      <c r="D889" s="48" t="s">
        <v>27</v>
      </c>
      <c r="E889" s="48"/>
      <c r="F889" s="48"/>
      <c r="G889" s="119">
        <f>G890</f>
        <v>164971.90000000002</v>
      </c>
      <c r="H889" s="119">
        <f t="shared" ref="H889:I890" si="296">H890</f>
        <v>15392.800000000001</v>
      </c>
      <c r="I889" s="119">
        <f t="shared" si="296"/>
        <v>21722.5</v>
      </c>
      <c r="J889" s="239"/>
      <c r="K889" s="239"/>
      <c r="L889" s="239"/>
      <c r="M889" s="239"/>
      <c r="N889" s="239"/>
      <c r="O889" s="239"/>
      <c r="P889" s="239"/>
      <c r="Q889" s="239"/>
      <c r="R889" s="239"/>
      <c r="S889" s="239"/>
      <c r="T889" s="239"/>
    </row>
    <row r="890" spans="1:20" s="82" customFormat="1" ht="25.5" x14ac:dyDescent="0.25">
      <c r="A890" s="24" t="s">
        <v>550</v>
      </c>
      <c r="B890" s="53">
        <v>917</v>
      </c>
      <c r="C890" s="48" t="s">
        <v>37</v>
      </c>
      <c r="D890" s="48" t="s">
        <v>27</v>
      </c>
      <c r="E890" s="48" t="s">
        <v>121</v>
      </c>
      <c r="F890" s="48"/>
      <c r="G890" s="119">
        <f>G891</f>
        <v>164971.90000000002</v>
      </c>
      <c r="H890" s="119">
        <f t="shared" si="296"/>
        <v>15392.800000000001</v>
      </c>
      <c r="I890" s="119">
        <f t="shared" si="296"/>
        <v>21722.5</v>
      </c>
      <c r="J890" s="239"/>
      <c r="K890" s="239"/>
      <c r="L890" s="239"/>
      <c r="M890" s="239"/>
      <c r="N890" s="239"/>
      <c r="O890" s="239"/>
      <c r="P890" s="239"/>
      <c r="Q890" s="239"/>
      <c r="R890" s="239"/>
      <c r="S890" s="239"/>
      <c r="T890" s="239"/>
    </row>
    <row r="891" spans="1:20" s="82" customFormat="1" x14ac:dyDescent="0.25">
      <c r="A891" s="24" t="s">
        <v>776</v>
      </c>
      <c r="B891" s="53">
        <v>917</v>
      </c>
      <c r="C891" s="48" t="s">
        <v>37</v>
      </c>
      <c r="D891" s="48" t="s">
        <v>27</v>
      </c>
      <c r="E891" s="48" t="s">
        <v>122</v>
      </c>
      <c r="F891" s="48"/>
      <c r="G891" s="119">
        <f>G892+G905+G915</f>
        <v>164971.90000000002</v>
      </c>
      <c r="H891" s="119">
        <f>H892+H905+H915</f>
        <v>15392.800000000001</v>
      </c>
      <c r="I891" s="119">
        <f>I892+I905+I915</f>
        <v>21722.5</v>
      </c>
      <c r="J891" s="239"/>
      <c r="K891" s="239"/>
      <c r="L891" s="239"/>
      <c r="M891" s="239"/>
      <c r="N891" s="239"/>
      <c r="O891" s="239"/>
      <c r="P891" s="239"/>
      <c r="Q891" s="239"/>
      <c r="R891" s="239"/>
      <c r="S891" s="239"/>
      <c r="T891" s="239"/>
    </row>
    <row r="892" spans="1:20" s="82" customFormat="1" ht="25.5" x14ac:dyDescent="0.25">
      <c r="A892" s="24" t="s">
        <v>832</v>
      </c>
      <c r="B892" s="53">
        <v>917</v>
      </c>
      <c r="C892" s="48" t="s">
        <v>37</v>
      </c>
      <c r="D892" s="48" t="s">
        <v>27</v>
      </c>
      <c r="E892" s="48" t="s">
        <v>123</v>
      </c>
      <c r="F892" s="48"/>
      <c r="G892" s="119">
        <f>G893+G897+G901+G903+G895+G899</f>
        <v>37066.800000000003</v>
      </c>
      <c r="H892" s="119">
        <f t="shared" ref="H892:I892" si="297">H893+H897+H901+H903+H895+H899</f>
        <v>12684.300000000001</v>
      </c>
      <c r="I892" s="119">
        <f t="shared" si="297"/>
        <v>19341.099999999999</v>
      </c>
      <c r="J892" s="239"/>
      <c r="K892" s="239"/>
      <c r="L892" s="239"/>
      <c r="M892" s="239"/>
      <c r="N892" s="239"/>
      <c r="O892" s="239"/>
      <c r="P892" s="239"/>
      <c r="Q892" s="239"/>
      <c r="R892" s="239"/>
      <c r="S892" s="239"/>
      <c r="T892" s="239"/>
    </row>
    <row r="893" spans="1:20" s="82" customFormat="1" x14ac:dyDescent="0.25">
      <c r="A893" s="24" t="s">
        <v>335</v>
      </c>
      <c r="B893" s="53">
        <v>917</v>
      </c>
      <c r="C893" s="48" t="s">
        <v>37</v>
      </c>
      <c r="D893" s="48" t="s">
        <v>27</v>
      </c>
      <c r="E893" s="48" t="s">
        <v>556</v>
      </c>
      <c r="F893" s="48"/>
      <c r="G893" s="119">
        <f>G894</f>
        <v>11638.599999999999</v>
      </c>
      <c r="H893" s="119">
        <f t="shared" ref="H893:I893" si="298">H894</f>
        <v>9143.7000000000007</v>
      </c>
      <c r="I893" s="119">
        <f t="shared" si="298"/>
        <v>9392.5</v>
      </c>
      <c r="J893" s="239"/>
      <c r="K893" s="239"/>
      <c r="L893" s="239"/>
      <c r="M893" s="239"/>
      <c r="N893" s="239"/>
      <c r="O893" s="239"/>
      <c r="P893" s="239"/>
      <c r="Q893" s="239"/>
      <c r="R893" s="239"/>
      <c r="S893" s="239"/>
      <c r="T893" s="239"/>
    </row>
    <row r="894" spans="1:20" s="82" customFormat="1" ht="25.5" x14ac:dyDescent="0.25">
      <c r="A894" s="24" t="s">
        <v>226</v>
      </c>
      <c r="B894" s="53">
        <v>917</v>
      </c>
      <c r="C894" s="48" t="s">
        <v>37</v>
      </c>
      <c r="D894" s="48" t="s">
        <v>27</v>
      </c>
      <c r="E894" s="48" t="s">
        <v>556</v>
      </c>
      <c r="F894" s="48" t="s">
        <v>59</v>
      </c>
      <c r="G894" s="119">
        <f>8904.6+130.3+2603.7</f>
        <v>11638.599999999999</v>
      </c>
      <c r="H894" s="119">
        <v>9143.7000000000007</v>
      </c>
      <c r="I894" s="119">
        <v>9392.5</v>
      </c>
      <c r="J894" s="235"/>
      <c r="K894" s="239"/>
      <c r="L894" s="239"/>
      <c r="M894" s="239"/>
      <c r="N894" s="239"/>
      <c r="O894" s="239"/>
      <c r="P894" s="239"/>
      <c r="Q894" s="239"/>
      <c r="R894" s="239"/>
      <c r="S894" s="239"/>
      <c r="T894" s="239"/>
    </row>
    <row r="895" spans="1:20" s="82" customFormat="1" ht="25.5" x14ac:dyDescent="0.25">
      <c r="A895" s="24" t="s">
        <v>977</v>
      </c>
      <c r="B895" s="53">
        <v>917</v>
      </c>
      <c r="C895" s="48" t="s">
        <v>37</v>
      </c>
      <c r="D895" s="48" t="s">
        <v>27</v>
      </c>
      <c r="E895" s="48" t="s">
        <v>976</v>
      </c>
      <c r="F895" s="48"/>
      <c r="G895" s="119">
        <f>G896</f>
        <v>18620</v>
      </c>
      <c r="H895" s="119">
        <f t="shared" ref="H895:I895" si="299">H896</f>
        <v>0</v>
      </c>
      <c r="I895" s="119">
        <f t="shared" si="299"/>
        <v>0</v>
      </c>
      <c r="J895" s="185"/>
      <c r="K895" s="239"/>
      <c r="L895" s="239"/>
      <c r="M895" s="239"/>
      <c r="N895" s="239"/>
      <c r="O895" s="239"/>
      <c r="P895" s="239"/>
      <c r="Q895" s="239"/>
      <c r="R895" s="239"/>
      <c r="S895" s="239"/>
      <c r="T895" s="239"/>
    </row>
    <row r="896" spans="1:20" s="82" customFormat="1" ht="25.5" x14ac:dyDescent="0.25">
      <c r="A896" s="24" t="s">
        <v>227</v>
      </c>
      <c r="B896" s="53">
        <v>917</v>
      </c>
      <c r="C896" s="48" t="s">
        <v>37</v>
      </c>
      <c r="D896" s="48" t="s">
        <v>27</v>
      </c>
      <c r="E896" s="48" t="s">
        <v>976</v>
      </c>
      <c r="F896" s="48" t="s">
        <v>193</v>
      </c>
      <c r="G896" s="119">
        <f>3300+4766.7+10000+553.3</f>
        <v>18620</v>
      </c>
      <c r="H896" s="119">
        <v>0</v>
      </c>
      <c r="I896" s="119">
        <v>0</v>
      </c>
      <c r="J896" s="185"/>
      <c r="K896" s="239"/>
      <c r="L896" s="239"/>
      <c r="M896" s="239"/>
      <c r="N896" s="239"/>
      <c r="O896" s="239"/>
      <c r="P896" s="239"/>
      <c r="Q896" s="239"/>
      <c r="R896" s="239"/>
      <c r="S896" s="239"/>
      <c r="T896" s="239"/>
    </row>
    <row r="897" spans="1:20" s="82" customFormat="1" ht="63.75" x14ac:dyDescent="0.25">
      <c r="A897" s="24" t="s">
        <v>649</v>
      </c>
      <c r="B897" s="53">
        <v>917</v>
      </c>
      <c r="C897" s="48" t="s">
        <v>37</v>
      </c>
      <c r="D897" s="48" t="s">
        <v>27</v>
      </c>
      <c r="E897" s="48" t="s">
        <v>648</v>
      </c>
      <c r="F897" s="48"/>
      <c r="G897" s="119">
        <f>G898</f>
        <v>2808.2</v>
      </c>
      <c r="H897" s="119">
        <f t="shared" ref="H897:I897" si="300">H898</f>
        <v>2802.6</v>
      </c>
      <c r="I897" s="119">
        <f t="shared" si="300"/>
        <v>4974.3</v>
      </c>
      <c r="J897" s="239"/>
      <c r="K897" s="239"/>
      <c r="L897" s="239"/>
      <c r="M897" s="239"/>
      <c r="N897" s="239"/>
      <c r="O897" s="239"/>
      <c r="P897" s="239"/>
      <c r="Q897" s="239"/>
      <c r="R897" s="239"/>
      <c r="S897" s="239"/>
      <c r="T897" s="239"/>
    </row>
    <row r="898" spans="1:20" s="82" customFormat="1" x14ac:dyDescent="0.25">
      <c r="A898" s="24" t="s">
        <v>95</v>
      </c>
      <c r="B898" s="53">
        <v>917</v>
      </c>
      <c r="C898" s="48" t="s">
        <v>37</v>
      </c>
      <c r="D898" s="48" t="s">
        <v>27</v>
      </c>
      <c r="E898" s="48" t="s">
        <v>648</v>
      </c>
      <c r="F898" s="48" t="s">
        <v>62</v>
      </c>
      <c r="G898" s="119">
        <v>2808.2</v>
      </c>
      <c r="H898" s="119">
        <v>2802.6</v>
      </c>
      <c r="I898" s="119">
        <v>4974.3</v>
      </c>
      <c r="J898" s="239"/>
      <c r="K898" s="239"/>
      <c r="L898" s="239"/>
      <c r="M898" s="239"/>
      <c r="N898" s="239"/>
      <c r="O898" s="239"/>
      <c r="P898" s="239"/>
      <c r="Q898" s="239"/>
      <c r="R898" s="239"/>
      <c r="S898" s="239"/>
      <c r="T898" s="239"/>
    </row>
    <row r="899" spans="1:20" s="82" customFormat="1" ht="63.75" x14ac:dyDescent="0.25">
      <c r="A899" s="24" t="s">
        <v>961</v>
      </c>
      <c r="B899" s="53">
        <v>917</v>
      </c>
      <c r="C899" s="48" t="s">
        <v>37</v>
      </c>
      <c r="D899" s="48" t="s">
        <v>27</v>
      </c>
      <c r="E899" s="48" t="s">
        <v>962</v>
      </c>
      <c r="F899" s="48"/>
      <c r="G899" s="119">
        <f>G900</f>
        <v>1800</v>
      </c>
      <c r="H899" s="119">
        <v>0</v>
      </c>
      <c r="I899" s="119">
        <v>0</v>
      </c>
      <c r="J899" s="239"/>
      <c r="K899" s="239"/>
      <c r="L899" s="239"/>
      <c r="M899" s="239"/>
      <c r="N899" s="239"/>
      <c r="O899" s="239"/>
      <c r="P899" s="239"/>
      <c r="Q899" s="239"/>
      <c r="R899" s="239"/>
      <c r="S899" s="239"/>
      <c r="T899" s="239"/>
    </row>
    <row r="900" spans="1:20" s="82" customFormat="1" x14ac:dyDescent="0.25">
      <c r="A900" s="24" t="s">
        <v>95</v>
      </c>
      <c r="B900" s="53">
        <v>917</v>
      </c>
      <c r="C900" s="48" t="s">
        <v>37</v>
      </c>
      <c r="D900" s="48" t="s">
        <v>27</v>
      </c>
      <c r="E900" s="48" t="s">
        <v>962</v>
      </c>
      <c r="F900" s="48" t="s">
        <v>62</v>
      </c>
      <c r="G900" s="119">
        <v>1800</v>
      </c>
      <c r="H900" s="119">
        <v>0</v>
      </c>
      <c r="I900" s="119">
        <v>0</v>
      </c>
      <c r="J900" s="239"/>
      <c r="K900" s="239"/>
      <c r="L900" s="239"/>
      <c r="M900" s="239"/>
      <c r="N900" s="239"/>
      <c r="O900" s="239"/>
      <c r="P900" s="239"/>
      <c r="Q900" s="239"/>
      <c r="R900" s="239"/>
      <c r="S900" s="239"/>
      <c r="T900" s="239"/>
    </row>
    <row r="901" spans="1:20" s="82" customFormat="1" ht="25.5" x14ac:dyDescent="0.25">
      <c r="A901" s="24" t="s">
        <v>867</v>
      </c>
      <c r="B901" s="53">
        <v>917</v>
      </c>
      <c r="C901" s="48" t="s">
        <v>37</v>
      </c>
      <c r="D901" s="48" t="s">
        <v>27</v>
      </c>
      <c r="E901" s="48" t="s">
        <v>866</v>
      </c>
      <c r="F901" s="48"/>
      <c r="G901" s="119">
        <f>G902</f>
        <v>2200</v>
      </c>
      <c r="H901" s="119">
        <f t="shared" ref="H901:I901" si="301">H902</f>
        <v>0</v>
      </c>
      <c r="I901" s="119">
        <f t="shared" si="301"/>
        <v>0</v>
      </c>
      <c r="J901" s="239"/>
      <c r="K901" s="239"/>
      <c r="L901" s="239"/>
      <c r="M901" s="239"/>
      <c r="N901" s="239"/>
      <c r="O901" s="239"/>
      <c r="P901" s="239"/>
      <c r="Q901" s="239"/>
      <c r="R901" s="239"/>
      <c r="S901" s="239"/>
      <c r="T901" s="239"/>
    </row>
    <row r="902" spans="1:20" s="82" customFormat="1" ht="25.5" x14ac:dyDescent="0.25">
      <c r="A902" s="24" t="s">
        <v>226</v>
      </c>
      <c r="B902" s="53">
        <v>917</v>
      </c>
      <c r="C902" s="48" t="s">
        <v>37</v>
      </c>
      <c r="D902" s="48" t="s">
        <v>27</v>
      </c>
      <c r="E902" s="48" t="s">
        <v>866</v>
      </c>
      <c r="F902" s="48" t="s">
        <v>59</v>
      </c>
      <c r="G902" s="119">
        <v>2200</v>
      </c>
      <c r="H902" s="119">
        <v>0</v>
      </c>
      <c r="I902" s="119">
        <v>0</v>
      </c>
      <c r="J902" s="239"/>
      <c r="K902" s="239"/>
      <c r="L902" s="239"/>
      <c r="M902" s="239"/>
      <c r="N902" s="239"/>
      <c r="O902" s="239"/>
      <c r="P902" s="239"/>
      <c r="Q902" s="239"/>
      <c r="R902" s="239"/>
      <c r="S902" s="239"/>
      <c r="T902" s="239"/>
    </row>
    <row r="903" spans="1:20" s="82" customFormat="1" ht="63.75" x14ac:dyDescent="0.25">
      <c r="A903" s="24" t="s">
        <v>909</v>
      </c>
      <c r="B903" s="53">
        <v>917</v>
      </c>
      <c r="C903" s="48" t="s">
        <v>37</v>
      </c>
      <c r="D903" s="48" t="s">
        <v>27</v>
      </c>
      <c r="E903" s="48" t="s">
        <v>891</v>
      </c>
      <c r="F903" s="48"/>
      <c r="G903" s="119">
        <f>G904</f>
        <v>0</v>
      </c>
      <c r="H903" s="119">
        <f t="shared" ref="H903:I903" si="302">H904</f>
        <v>738</v>
      </c>
      <c r="I903" s="119">
        <f t="shared" si="302"/>
        <v>4974.3</v>
      </c>
      <c r="J903" s="239"/>
      <c r="K903" s="239"/>
      <c r="L903" s="239"/>
      <c r="M903" s="239"/>
      <c r="N903" s="239"/>
      <c r="O903" s="239"/>
      <c r="P903" s="239"/>
      <c r="Q903" s="239"/>
      <c r="R903" s="239"/>
      <c r="S903" s="239"/>
      <c r="T903" s="239"/>
    </row>
    <row r="904" spans="1:20" s="82" customFormat="1" x14ac:dyDescent="0.25">
      <c r="A904" s="24" t="s">
        <v>95</v>
      </c>
      <c r="B904" s="53">
        <v>917</v>
      </c>
      <c r="C904" s="48" t="s">
        <v>37</v>
      </c>
      <c r="D904" s="48" t="s">
        <v>27</v>
      </c>
      <c r="E904" s="48" t="s">
        <v>891</v>
      </c>
      <c r="F904" s="48" t="s">
        <v>62</v>
      </c>
      <c r="G904" s="119">
        <v>0</v>
      </c>
      <c r="H904" s="119">
        <v>738</v>
      </c>
      <c r="I904" s="119">
        <v>4974.3</v>
      </c>
      <c r="J904" s="239"/>
      <c r="K904" s="239"/>
      <c r="L904" s="239"/>
      <c r="M904" s="239"/>
      <c r="N904" s="239"/>
      <c r="O904" s="239"/>
      <c r="P904" s="239"/>
      <c r="Q904" s="239"/>
      <c r="R904" s="239"/>
      <c r="S904" s="239"/>
      <c r="T904" s="239"/>
    </row>
    <row r="905" spans="1:20" s="82" customFormat="1" x14ac:dyDescent="0.25">
      <c r="A905" s="24" t="s">
        <v>906</v>
      </c>
      <c r="B905" s="53">
        <v>917</v>
      </c>
      <c r="C905" s="48" t="s">
        <v>37</v>
      </c>
      <c r="D905" s="48" t="s">
        <v>27</v>
      </c>
      <c r="E905" s="48" t="s">
        <v>892</v>
      </c>
      <c r="F905" s="48"/>
      <c r="G905" s="119">
        <f>G906</f>
        <v>2708.5</v>
      </c>
      <c r="H905" s="119">
        <f t="shared" ref="H905:I905" si="303">H906</f>
        <v>2708.5</v>
      </c>
      <c r="I905" s="119">
        <f t="shared" si="303"/>
        <v>2381.4</v>
      </c>
      <c r="J905" s="239"/>
      <c r="K905" s="239"/>
      <c r="L905" s="239"/>
      <c r="M905" s="239"/>
      <c r="N905" s="239"/>
      <c r="O905" s="239"/>
      <c r="P905" s="239"/>
      <c r="Q905" s="239"/>
      <c r="R905" s="239"/>
      <c r="S905" s="239"/>
      <c r="T905" s="239"/>
    </row>
    <row r="906" spans="1:20" s="82" customFormat="1" ht="25.5" x14ac:dyDescent="0.25">
      <c r="A906" s="24" t="s">
        <v>242</v>
      </c>
      <c r="B906" s="53">
        <v>917</v>
      </c>
      <c r="C906" s="48" t="s">
        <v>37</v>
      </c>
      <c r="D906" s="48" t="s">
        <v>27</v>
      </c>
      <c r="E906" s="48" t="s">
        <v>893</v>
      </c>
      <c r="F906" s="48"/>
      <c r="G906" s="119">
        <f>G907+G909+G911+G913</f>
        <v>2708.5</v>
      </c>
      <c r="H906" s="119">
        <f t="shared" ref="H906:I906" si="304">H907+H909+H911+H913</f>
        <v>2708.5</v>
      </c>
      <c r="I906" s="119">
        <f t="shared" si="304"/>
        <v>2381.4</v>
      </c>
      <c r="J906" s="239"/>
      <c r="K906" s="239"/>
      <c r="L906" s="239"/>
      <c r="M906" s="239"/>
      <c r="N906" s="239"/>
      <c r="O906" s="239"/>
      <c r="P906" s="239"/>
      <c r="Q906" s="239"/>
      <c r="R906" s="239"/>
      <c r="S906" s="239"/>
      <c r="T906" s="239"/>
    </row>
    <row r="907" spans="1:20" s="82" customFormat="1" ht="38.25" x14ac:dyDescent="0.25">
      <c r="A907" s="24" t="s">
        <v>896</v>
      </c>
      <c r="B907" s="53">
        <v>917</v>
      </c>
      <c r="C907" s="48" t="s">
        <v>37</v>
      </c>
      <c r="D907" s="48" t="s">
        <v>27</v>
      </c>
      <c r="E907" s="48" t="s">
        <v>894</v>
      </c>
      <c r="F907" s="48"/>
      <c r="G907" s="119">
        <f>G908</f>
        <v>1091.9000000000001</v>
      </c>
      <c r="H907" s="119">
        <f t="shared" ref="H907:I907" si="305">H908</f>
        <v>850</v>
      </c>
      <c r="I907" s="119">
        <f t="shared" si="305"/>
        <v>850</v>
      </c>
      <c r="J907" s="239"/>
      <c r="K907" s="239"/>
      <c r="L907" s="239"/>
      <c r="M907" s="239"/>
      <c r="N907" s="239"/>
      <c r="O907" s="239"/>
      <c r="P907" s="239"/>
      <c r="Q907" s="239"/>
      <c r="R907" s="239"/>
      <c r="S907" s="239"/>
      <c r="T907" s="239"/>
    </row>
    <row r="908" spans="1:20" s="82" customFormat="1" ht="25.5" x14ac:dyDescent="0.25">
      <c r="A908" s="24" t="s">
        <v>64</v>
      </c>
      <c r="B908" s="53">
        <v>917</v>
      </c>
      <c r="C908" s="48" t="s">
        <v>37</v>
      </c>
      <c r="D908" s="48" t="s">
        <v>27</v>
      </c>
      <c r="E908" s="48" t="s">
        <v>894</v>
      </c>
      <c r="F908" s="48" t="s">
        <v>65</v>
      </c>
      <c r="G908" s="119">
        <f>850+241.9</f>
        <v>1091.9000000000001</v>
      </c>
      <c r="H908" s="119">
        <v>850</v>
      </c>
      <c r="I908" s="119">
        <v>850</v>
      </c>
      <c r="J908" s="239"/>
      <c r="K908" s="239"/>
      <c r="L908" s="239"/>
      <c r="M908" s="239"/>
      <c r="N908" s="239"/>
      <c r="O908" s="239"/>
      <c r="P908" s="239"/>
      <c r="Q908" s="239"/>
      <c r="R908" s="239"/>
      <c r="S908" s="239"/>
      <c r="T908" s="239"/>
    </row>
    <row r="909" spans="1:20" s="82" customFormat="1" ht="25.5" x14ac:dyDescent="0.25">
      <c r="A909" s="24" t="s">
        <v>897</v>
      </c>
      <c r="B909" s="53">
        <v>917</v>
      </c>
      <c r="C909" s="48" t="s">
        <v>37</v>
      </c>
      <c r="D909" s="48" t="s">
        <v>27</v>
      </c>
      <c r="E909" s="48" t="s">
        <v>895</v>
      </c>
      <c r="F909" s="48"/>
      <c r="G909" s="119">
        <f>G910</f>
        <v>588</v>
      </c>
      <c r="H909" s="119">
        <f>H910</f>
        <v>1858.5</v>
      </c>
      <c r="I909" s="119">
        <f>I910</f>
        <v>1531.4</v>
      </c>
      <c r="J909" s="239"/>
      <c r="K909" s="239"/>
      <c r="L909" s="239"/>
      <c r="M909" s="239"/>
      <c r="N909" s="239"/>
      <c r="O909" s="239"/>
      <c r="P909" s="239"/>
      <c r="Q909" s="239"/>
      <c r="R909" s="239"/>
      <c r="S909" s="239"/>
      <c r="T909" s="239"/>
    </row>
    <row r="910" spans="1:20" s="82" customFormat="1" ht="25.5" x14ac:dyDescent="0.25">
      <c r="A910" s="24" t="s">
        <v>64</v>
      </c>
      <c r="B910" s="53">
        <v>917</v>
      </c>
      <c r="C910" s="48" t="s">
        <v>37</v>
      </c>
      <c r="D910" s="48" t="s">
        <v>27</v>
      </c>
      <c r="E910" s="48" t="s">
        <v>895</v>
      </c>
      <c r="F910" s="48" t="s">
        <v>65</v>
      </c>
      <c r="G910" s="119">
        <f>1858.5-1270.5</f>
        <v>588</v>
      </c>
      <c r="H910" s="119">
        <v>1858.5</v>
      </c>
      <c r="I910" s="119">
        <v>1531.4</v>
      </c>
      <c r="J910" s="239"/>
      <c r="K910" s="239"/>
      <c r="L910" s="239"/>
      <c r="M910" s="239"/>
      <c r="N910" s="239"/>
      <c r="O910" s="239"/>
      <c r="P910" s="239"/>
      <c r="Q910" s="239"/>
      <c r="R910" s="239"/>
      <c r="S910" s="239"/>
      <c r="T910" s="239"/>
    </row>
    <row r="911" spans="1:20" s="82" customFormat="1" ht="25.5" x14ac:dyDescent="0.25">
      <c r="A911" s="24" t="s">
        <v>513</v>
      </c>
      <c r="B911" s="53">
        <v>917</v>
      </c>
      <c r="C911" s="48" t="s">
        <v>37</v>
      </c>
      <c r="D911" s="48" t="s">
        <v>27</v>
      </c>
      <c r="E911" s="48" t="s">
        <v>1019</v>
      </c>
      <c r="F911" s="48"/>
      <c r="G911" s="119">
        <f>G912</f>
        <v>237.2</v>
      </c>
      <c r="H911" s="119">
        <f t="shared" ref="H911:I911" si="306">H912</f>
        <v>0</v>
      </c>
      <c r="I911" s="119">
        <f t="shared" si="306"/>
        <v>0</v>
      </c>
      <c r="J911" s="239"/>
      <c r="K911" s="239"/>
      <c r="L911" s="239"/>
      <c r="M911" s="239"/>
      <c r="N911" s="239"/>
      <c r="O911" s="239"/>
      <c r="P911" s="239"/>
      <c r="Q911" s="239"/>
      <c r="R911" s="239"/>
      <c r="S911" s="239"/>
      <c r="T911" s="239"/>
    </row>
    <row r="912" spans="1:20" s="82" customFormat="1" ht="25.5" x14ac:dyDescent="0.25">
      <c r="A912" s="24" t="s">
        <v>64</v>
      </c>
      <c r="B912" s="53">
        <v>917</v>
      </c>
      <c r="C912" s="48" t="s">
        <v>37</v>
      </c>
      <c r="D912" s="48" t="s">
        <v>27</v>
      </c>
      <c r="E912" s="48" t="s">
        <v>1019</v>
      </c>
      <c r="F912" s="48" t="s">
        <v>65</v>
      </c>
      <c r="G912" s="119">
        <v>237.2</v>
      </c>
      <c r="H912" s="119">
        <v>0</v>
      </c>
      <c r="I912" s="119">
        <v>0</v>
      </c>
      <c r="J912" s="239"/>
      <c r="K912" s="239"/>
      <c r="L912" s="239"/>
      <c r="M912" s="239"/>
      <c r="N912" s="239"/>
      <c r="O912" s="239"/>
      <c r="P912" s="239"/>
      <c r="Q912" s="239"/>
      <c r="R912" s="239"/>
      <c r="S912" s="239"/>
      <c r="T912" s="239"/>
    </row>
    <row r="913" spans="1:20" s="82" customFormat="1" ht="25.5" x14ac:dyDescent="0.25">
      <c r="A913" s="24" t="s">
        <v>1021</v>
      </c>
      <c r="B913" s="53">
        <v>917</v>
      </c>
      <c r="C913" s="48" t="s">
        <v>37</v>
      </c>
      <c r="D913" s="48" t="s">
        <v>27</v>
      </c>
      <c r="E913" s="48" t="s">
        <v>1020</v>
      </c>
      <c r="F913" s="48"/>
      <c r="G913" s="119">
        <f>G914</f>
        <v>791.4</v>
      </c>
      <c r="H913" s="119">
        <f t="shared" ref="H913:I913" si="307">H914</f>
        <v>0</v>
      </c>
      <c r="I913" s="119">
        <f t="shared" si="307"/>
        <v>0</v>
      </c>
      <c r="J913" s="239"/>
      <c r="K913" s="239"/>
      <c r="L913" s="239"/>
      <c r="M913" s="239"/>
      <c r="N913" s="239"/>
      <c r="O913" s="239"/>
      <c r="P913" s="239"/>
      <c r="Q913" s="239"/>
      <c r="R913" s="239"/>
      <c r="S913" s="239"/>
      <c r="T913" s="239"/>
    </row>
    <row r="914" spans="1:20" s="82" customFormat="1" ht="25.5" x14ac:dyDescent="0.25">
      <c r="A914" s="24" t="s">
        <v>64</v>
      </c>
      <c r="B914" s="53">
        <v>917</v>
      </c>
      <c r="C914" s="48" t="s">
        <v>37</v>
      </c>
      <c r="D914" s="48" t="s">
        <v>27</v>
      </c>
      <c r="E914" s="48" t="s">
        <v>1020</v>
      </c>
      <c r="F914" s="48" t="s">
        <v>65</v>
      </c>
      <c r="G914" s="119">
        <v>791.4</v>
      </c>
      <c r="H914" s="119">
        <v>0</v>
      </c>
      <c r="I914" s="119">
        <v>0</v>
      </c>
      <c r="J914" s="239"/>
      <c r="K914" s="239"/>
      <c r="L914" s="239"/>
      <c r="M914" s="239"/>
      <c r="N914" s="239"/>
      <c r="O914" s="239"/>
      <c r="P914" s="239"/>
      <c r="Q914" s="239"/>
      <c r="R914" s="239"/>
      <c r="S914" s="239"/>
      <c r="T914" s="239"/>
    </row>
    <row r="915" spans="1:20" s="82" customFormat="1" ht="25.5" x14ac:dyDescent="0.25">
      <c r="A915" s="24" t="s">
        <v>917</v>
      </c>
      <c r="B915" s="53">
        <v>917</v>
      </c>
      <c r="C915" s="48" t="s">
        <v>37</v>
      </c>
      <c r="D915" s="48" t="s">
        <v>27</v>
      </c>
      <c r="E915" s="48" t="s">
        <v>918</v>
      </c>
      <c r="F915" s="48"/>
      <c r="G915" s="119">
        <f>G916</f>
        <v>125196.6</v>
      </c>
      <c r="H915" s="119">
        <f t="shared" ref="H915:I916" si="308">H916</f>
        <v>0</v>
      </c>
      <c r="I915" s="119">
        <f t="shared" si="308"/>
        <v>0</v>
      </c>
      <c r="J915" s="239"/>
      <c r="K915" s="239"/>
      <c r="L915" s="239"/>
      <c r="M915" s="239"/>
      <c r="N915" s="239"/>
      <c r="O915" s="239"/>
      <c r="P915" s="239"/>
      <c r="Q915" s="239"/>
      <c r="R915" s="239"/>
      <c r="S915" s="239"/>
      <c r="T915" s="239"/>
    </row>
    <row r="916" spans="1:20" s="82" customFormat="1" x14ac:dyDescent="0.25">
      <c r="A916" s="24" t="s">
        <v>920</v>
      </c>
      <c r="B916" s="53">
        <v>917</v>
      </c>
      <c r="C916" s="48" t="s">
        <v>37</v>
      </c>
      <c r="D916" s="48" t="s">
        <v>27</v>
      </c>
      <c r="E916" s="48" t="s">
        <v>919</v>
      </c>
      <c r="F916" s="48"/>
      <c r="G916" s="119">
        <f>G917</f>
        <v>125196.6</v>
      </c>
      <c r="H916" s="119">
        <f t="shared" si="308"/>
        <v>0</v>
      </c>
      <c r="I916" s="119">
        <f t="shared" si="308"/>
        <v>0</v>
      </c>
      <c r="J916" s="239"/>
      <c r="K916" s="239"/>
      <c r="L916" s="239"/>
      <c r="M916" s="239"/>
      <c r="N916" s="239"/>
      <c r="O916" s="239"/>
      <c r="P916" s="239"/>
      <c r="Q916" s="239"/>
      <c r="R916" s="239"/>
      <c r="S916" s="239"/>
      <c r="T916" s="239"/>
    </row>
    <row r="917" spans="1:20" s="82" customFormat="1" ht="25.5" x14ac:dyDescent="0.25">
      <c r="A917" s="24" t="s">
        <v>227</v>
      </c>
      <c r="B917" s="53">
        <v>917</v>
      </c>
      <c r="C917" s="48" t="s">
        <v>37</v>
      </c>
      <c r="D917" s="48" t="s">
        <v>27</v>
      </c>
      <c r="E917" s="48" t="s">
        <v>919</v>
      </c>
      <c r="F917" s="48" t="s">
        <v>193</v>
      </c>
      <c r="G917" s="119">
        <f>1052.8+107.5+124036.3</f>
        <v>125196.6</v>
      </c>
      <c r="H917" s="119">
        <v>0</v>
      </c>
      <c r="I917" s="119">
        <v>0</v>
      </c>
      <c r="J917" s="239"/>
      <c r="K917" s="239"/>
      <c r="L917" s="239"/>
      <c r="M917" s="239"/>
      <c r="N917" s="239"/>
      <c r="O917" s="239"/>
      <c r="P917" s="239"/>
      <c r="Q917" s="239"/>
      <c r="R917" s="239"/>
      <c r="S917" s="239"/>
      <c r="T917" s="239"/>
    </row>
    <row r="918" spans="1:20" s="82" customFormat="1" x14ac:dyDescent="0.25">
      <c r="A918" s="24" t="s">
        <v>309</v>
      </c>
      <c r="B918" s="53">
        <v>917</v>
      </c>
      <c r="C918" s="48" t="s">
        <v>37</v>
      </c>
      <c r="D918" s="48" t="s">
        <v>28</v>
      </c>
      <c r="E918" s="48"/>
      <c r="F918" s="48"/>
      <c r="G918" s="119">
        <f>G925+G960+G976+G919</f>
        <v>941920.2</v>
      </c>
      <c r="H918" s="119">
        <f>H925+H960+H976+H919</f>
        <v>349337.39999999997</v>
      </c>
      <c r="I918" s="119">
        <f>I925+I960+I976+I919</f>
        <v>396407.9</v>
      </c>
      <c r="J918" s="239"/>
      <c r="K918" s="239"/>
      <c r="L918" s="239"/>
      <c r="M918" s="239"/>
      <c r="N918" s="239"/>
      <c r="O918" s="239"/>
      <c r="P918" s="239"/>
      <c r="Q918" s="239"/>
      <c r="R918" s="239"/>
      <c r="S918" s="239"/>
      <c r="T918" s="239"/>
    </row>
    <row r="919" spans="1:20" s="82" customFormat="1" ht="25.5" x14ac:dyDescent="0.25">
      <c r="A919" s="24" t="s">
        <v>494</v>
      </c>
      <c r="B919" s="53">
        <v>917</v>
      </c>
      <c r="C919" s="48" t="s">
        <v>37</v>
      </c>
      <c r="D919" s="48" t="s">
        <v>28</v>
      </c>
      <c r="E919" s="48" t="s">
        <v>119</v>
      </c>
      <c r="F919" s="48"/>
      <c r="G919" s="119">
        <f>G920</f>
        <v>3965</v>
      </c>
      <c r="H919" s="119">
        <f t="shared" ref="H919:I923" si="309">H920</f>
        <v>0</v>
      </c>
      <c r="I919" s="119">
        <f t="shared" si="309"/>
        <v>0</v>
      </c>
      <c r="J919" s="239"/>
      <c r="K919" s="239"/>
      <c r="L919" s="239"/>
      <c r="M919" s="239"/>
      <c r="N919" s="239"/>
      <c r="O919" s="239"/>
      <c r="P919" s="239"/>
      <c r="Q919" s="239"/>
      <c r="R919" s="239"/>
      <c r="S919" s="239"/>
      <c r="T919" s="239"/>
    </row>
    <row r="920" spans="1:20" s="82" customFormat="1" x14ac:dyDescent="0.25">
      <c r="A920" s="24" t="s">
        <v>756</v>
      </c>
      <c r="B920" s="53">
        <v>917</v>
      </c>
      <c r="C920" s="48" t="s">
        <v>37</v>
      </c>
      <c r="D920" s="48" t="s">
        <v>28</v>
      </c>
      <c r="E920" s="48" t="s">
        <v>617</v>
      </c>
      <c r="F920" s="48"/>
      <c r="G920" s="119">
        <f>G921</f>
        <v>3965</v>
      </c>
      <c r="H920" s="119">
        <f t="shared" si="309"/>
        <v>0</v>
      </c>
      <c r="I920" s="119">
        <f t="shared" si="309"/>
        <v>0</v>
      </c>
      <c r="J920" s="239"/>
      <c r="K920" s="239"/>
      <c r="L920" s="239"/>
      <c r="M920" s="239"/>
      <c r="N920" s="239"/>
      <c r="O920" s="239"/>
      <c r="P920" s="239"/>
      <c r="Q920" s="239"/>
      <c r="R920" s="239"/>
      <c r="S920" s="239"/>
      <c r="T920" s="239"/>
    </row>
    <row r="921" spans="1:20" s="82" customFormat="1" ht="25.5" x14ac:dyDescent="0.25">
      <c r="A921" s="24" t="s">
        <v>979</v>
      </c>
      <c r="B921" s="53">
        <v>917</v>
      </c>
      <c r="C921" s="48" t="s">
        <v>37</v>
      </c>
      <c r="D921" s="48" t="s">
        <v>28</v>
      </c>
      <c r="E921" s="48" t="s">
        <v>978</v>
      </c>
      <c r="F921" s="48"/>
      <c r="G921" s="119">
        <f>G922</f>
        <v>3965</v>
      </c>
      <c r="H921" s="119">
        <f t="shared" si="309"/>
        <v>0</v>
      </c>
      <c r="I921" s="119">
        <f t="shared" si="309"/>
        <v>0</v>
      </c>
      <c r="J921" s="239"/>
      <c r="K921" s="239"/>
      <c r="L921" s="239"/>
      <c r="M921" s="239"/>
      <c r="N921" s="239"/>
      <c r="O921" s="239"/>
      <c r="P921" s="239"/>
      <c r="Q921" s="239"/>
      <c r="R921" s="239"/>
      <c r="S921" s="239"/>
      <c r="T921" s="239"/>
    </row>
    <row r="922" spans="1:20" s="82" customFormat="1" ht="51" x14ac:dyDescent="0.25">
      <c r="A922" s="24" t="s">
        <v>980</v>
      </c>
      <c r="B922" s="53">
        <v>917</v>
      </c>
      <c r="C922" s="48" t="s">
        <v>37</v>
      </c>
      <c r="D922" s="48" t="s">
        <v>28</v>
      </c>
      <c r="E922" s="48" t="s">
        <v>981</v>
      </c>
      <c r="F922" s="48"/>
      <c r="G922" s="119">
        <f>G923</f>
        <v>3965</v>
      </c>
      <c r="H922" s="119">
        <f t="shared" si="309"/>
        <v>0</v>
      </c>
      <c r="I922" s="119">
        <f t="shared" si="309"/>
        <v>0</v>
      </c>
      <c r="J922" s="239"/>
      <c r="K922" s="239"/>
      <c r="L922" s="239"/>
      <c r="M922" s="239"/>
      <c r="N922" s="239"/>
      <c r="O922" s="239"/>
      <c r="P922" s="239"/>
      <c r="Q922" s="239"/>
      <c r="R922" s="239"/>
      <c r="S922" s="239"/>
      <c r="T922" s="239"/>
    </row>
    <row r="923" spans="1:20" s="82" customFormat="1" ht="63.75" x14ac:dyDescent="0.25">
      <c r="A923" s="24" t="s">
        <v>983</v>
      </c>
      <c r="B923" s="53">
        <v>917</v>
      </c>
      <c r="C923" s="48" t="s">
        <v>37</v>
      </c>
      <c r="D923" s="48" t="s">
        <v>28</v>
      </c>
      <c r="E923" s="48" t="s">
        <v>982</v>
      </c>
      <c r="F923" s="48"/>
      <c r="G923" s="119">
        <f>G924</f>
        <v>3965</v>
      </c>
      <c r="H923" s="119">
        <f t="shared" si="309"/>
        <v>0</v>
      </c>
      <c r="I923" s="119">
        <f t="shared" si="309"/>
        <v>0</v>
      </c>
      <c r="J923" s="239"/>
      <c r="K923" s="239"/>
      <c r="L923" s="239"/>
      <c r="M923" s="239"/>
      <c r="N923" s="239"/>
      <c r="O923" s="239"/>
      <c r="P923" s="239"/>
      <c r="Q923" s="239"/>
      <c r="R923" s="239"/>
      <c r="S923" s="239"/>
      <c r="T923" s="239"/>
    </row>
    <row r="924" spans="1:20" s="82" customFormat="1" ht="25.5" x14ac:dyDescent="0.25">
      <c r="A924" s="24" t="s">
        <v>226</v>
      </c>
      <c r="B924" s="53">
        <v>917</v>
      </c>
      <c r="C924" s="48" t="s">
        <v>37</v>
      </c>
      <c r="D924" s="48" t="s">
        <v>28</v>
      </c>
      <c r="E924" s="48" t="s">
        <v>982</v>
      </c>
      <c r="F924" s="48" t="s">
        <v>59</v>
      </c>
      <c r="G924" s="119">
        <v>3965</v>
      </c>
      <c r="H924" s="119">
        <v>0</v>
      </c>
      <c r="I924" s="119">
        <v>0</v>
      </c>
      <c r="J924" s="239"/>
      <c r="K924" s="239"/>
      <c r="L924" s="239"/>
      <c r="M924" s="239"/>
      <c r="N924" s="239"/>
      <c r="O924" s="239"/>
      <c r="P924" s="239"/>
      <c r="Q924" s="239"/>
      <c r="R924" s="239"/>
      <c r="S924" s="239"/>
      <c r="T924" s="239"/>
    </row>
    <row r="925" spans="1:20" s="82" customFormat="1" ht="25.5" x14ac:dyDescent="0.25">
      <c r="A925" s="24" t="s">
        <v>550</v>
      </c>
      <c r="B925" s="53">
        <v>917</v>
      </c>
      <c r="C925" s="48" t="s">
        <v>37</v>
      </c>
      <c r="D925" s="48" t="s">
        <v>28</v>
      </c>
      <c r="E925" s="48" t="s">
        <v>121</v>
      </c>
      <c r="F925" s="48"/>
      <c r="G925" s="119">
        <f>G926</f>
        <v>229391.6</v>
      </c>
      <c r="H925" s="119">
        <f t="shared" ref="H925:I925" si="310">H926</f>
        <v>237681.89999999997</v>
      </c>
      <c r="I925" s="119">
        <f t="shared" si="310"/>
        <v>317686</v>
      </c>
      <c r="J925" s="239"/>
      <c r="K925" s="239"/>
      <c r="L925" s="239"/>
      <c r="M925" s="239"/>
      <c r="N925" s="239"/>
      <c r="O925" s="239"/>
      <c r="P925" s="239"/>
      <c r="Q925" s="239"/>
      <c r="R925" s="239"/>
      <c r="S925" s="239"/>
      <c r="T925" s="239"/>
    </row>
    <row r="926" spans="1:20" s="82" customFormat="1" x14ac:dyDescent="0.25">
      <c r="A926" s="24" t="s">
        <v>777</v>
      </c>
      <c r="B926" s="53">
        <v>917</v>
      </c>
      <c r="C926" s="48" t="s">
        <v>37</v>
      </c>
      <c r="D926" s="48" t="s">
        <v>28</v>
      </c>
      <c r="E926" s="48" t="s">
        <v>187</v>
      </c>
      <c r="F926" s="48"/>
      <c r="G926" s="119">
        <f>G927+G943+G948+G953</f>
        <v>229391.6</v>
      </c>
      <c r="H926" s="119">
        <f>H927+H943+H948+H953</f>
        <v>237681.89999999997</v>
      </c>
      <c r="I926" s="119">
        <f>I927+I943+I948+I953</f>
        <v>317686</v>
      </c>
      <c r="J926" s="239"/>
      <c r="K926" s="239"/>
      <c r="L926" s="239"/>
      <c r="M926" s="239"/>
      <c r="N926" s="239"/>
      <c r="O926" s="239"/>
      <c r="P926" s="239"/>
      <c r="Q926" s="239"/>
      <c r="R926" s="239"/>
      <c r="S926" s="239"/>
      <c r="T926" s="239"/>
    </row>
    <row r="927" spans="1:20" s="82" customFormat="1" x14ac:dyDescent="0.25">
      <c r="A927" s="24" t="s">
        <v>833</v>
      </c>
      <c r="B927" s="53">
        <v>917</v>
      </c>
      <c r="C927" s="48" t="s">
        <v>37</v>
      </c>
      <c r="D927" s="48" t="s">
        <v>28</v>
      </c>
      <c r="E927" s="48" t="s">
        <v>351</v>
      </c>
      <c r="F927" s="48"/>
      <c r="G927" s="119">
        <f>G928+G930+G932+G934+G936+G941+G939</f>
        <v>91026.499999999985</v>
      </c>
      <c r="H927" s="119">
        <f t="shared" ref="H927:I927" si="311">H928+H930+H932+H934+H936+H941+H939</f>
        <v>99899.699999999983</v>
      </c>
      <c r="I927" s="119">
        <f t="shared" si="311"/>
        <v>122596.89999999998</v>
      </c>
      <c r="J927" s="239"/>
      <c r="K927" s="239"/>
      <c r="L927" s="239"/>
      <c r="M927" s="239"/>
      <c r="N927" s="239"/>
      <c r="O927" s="239"/>
      <c r="P927" s="239"/>
      <c r="Q927" s="239"/>
      <c r="R927" s="239"/>
      <c r="S927" s="239"/>
      <c r="T927" s="239"/>
    </row>
    <row r="928" spans="1:20" s="82" customFormat="1" x14ac:dyDescent="0.25">
      <c r="A928" s="24" t="s">
        <v>188</v>
      </c>
      <c r="B928" s="53">
        <v>917</v>
      </c>
      <c r="C928" s="48" t="s">
        <v>37</v>
      </c>
      <c r="D928" s="48" t="s">
        <v>28</v>
      </c>
      <c r="E928" s="48" t="s">
        <v>559</v>
      </c>
      <c r="F928" s="48"/>
      <c r="G928" s="119">
        <f>G929</f>
        <v>37400</v>
      </c>
      <c r="H928" s="119">
        <f t="shared" ref="H928:I928" si="312">H929</f>
        <v>58091.5</v>
      </c>
      <c r="I928" s="119">
        <f t="shared" si="312"/>
        <v>75412.5</v>
      </c>
      <c r="J928" s="239"/>
      <c r="K928" s="239"/>
      <c r="L928" s="239"/>
      <c r="M928" s="239"/>
      <c r="N928" s="239"/>
      <c r="O928" s="239"/>
      <c r="P928" s="239"/>
      <c r="Q928" s="239"/>
      <c r="R928" s="239"/>
      <c r="S928" s="239"/>
      <c r="T928" s="239"/>
    </row>
    <row r="929" spans="1:20" s="82" customFormat="1" ht="25.5" x14ac:dyDescent="0.25">
      <c r="A929" s="24" t="s">
        <v>226</v>
      </c>
      <c r="B929" s="53">
        <v>917</v>
      </c>
      <c r="C929" s="48" t="s">
        <v>37</v>
      </c>
      <c r="D929" s="48" t="s">
        <v>28</v>
      </c>
      <c r="E929" s="48" t="s">
        <v>559</v>
      </c>
      <c r="F929" s="48" t="s">
        <v>59</v>
      </c>
      <c r="G929" s="119">
        <v>37400</v>
      </c>
      <c r="H929" s="119">
        <f>9400+20691.5+28000</f>
        <v>58091.5</v>
      </c>
      <c r="I929" s="119">
        <v>75412.5</v>
      </c>
      <c r="J929" s="185"/>
      <c r="K929" s="239"/>
      <c r="L929" s="239"/>
      <c r="M929" s="239"/>
      <c r="N929" s="239"/>
      <c r="O929" s="239"/>
      <c r="P929" s="239"/>
      <c r="Q929" s="239"/>
      <c r="R929" s="239"/>
      <c r="S929" s="239"/>
      <c r="T929" s="239"/>
    </row>
    <row r="930" spans="1:20" s="82" customFormat="1" x14ac:dyDescent="0.25">
      <c r="A930" s="24" t="s">
        <v>189</v>
      </c>
      <c r="B930" s="53">
        <v>917</v>
      </c>
      <c r="C930" s="48" t="s">
        <v>37</v>
      </c>
      <c r="D930" s="48" t="s">
        <v>28</v>
      </c>
      <c r="E930" s="48" t="s">
        <v>560</v>
      </c>
      <c r="F930" s="48"/>
      <c r="G930" s="119">
        <f>G931</f>
        <v>10317.700000000001</v>
      </c>
      <c r="H930" s="119">
        <f t="shared" ref="H930:I930" si="313">H931</f>
        <v>7318.3</v>
      </c>
      <c r="I930" s="119">
        <f t="shared" si="313"/>
        <v>15467.7</v>
      </c>
      <c r="J930" s="185"/>
      <c r="K930" s="239"/>
      <c r="L930" s="239"/>
      <c r="M930" s="239"/>
      <c r="N930" s="239"/>
      <c r="O930" s="239"/>
      <c r="P930" s="239"/>
      <c r="Q930" s="239"/>
      <c r="R930" s="239"/>
      <c r="S930" s="239"/>
      <c r="T930" s="239"/>
    </row>
    <row r="931" spans="1:20" s="82" customFormat="1" ht="25.5" x14ac:dyDescent="0.25">
      <c r="A931" s="24" t="s">
        <v>226</v>
      </c>
      <c r="B931" s="53">
        <v>917</v>
      </c>
      <c r="C931" s="48" t="s">
        <v>37</v>
      </c>
      <c r="D931" s="48" t="s">
        <v>28</v>
      </c>
      <c r="E931" s="48" t="s">
        <v>560</v>
      </c>
      <c r="F931" s="48" t="s">
        <v>59</v>
      </c>
      <c r="G931" s="119">
        <f>7311.7+3006</f>
        <v>10317.700000000001</v>
      </c>
      <c r="H931" s="119">
        <f>4318.3+3000</f>
        <v>7318.3</v>
      </c>
      <c r="I931" s="119">
        <v>15467.7</v>
      </c>
      <c r="J931" s="185"/>
      <c r="K931" s="185"/>
      <c r="L931" s="239"/>
      <c r="M931" s="239"/>
      <c r="N931" s="239"/>
      <c r="O931" s="239"/>
      <c r="P931" s="239"/>
      <c r="Q931" s="239"/>
      <c r="R931" s="239"/>
      <c r="S931" s="239"/>
      <c r="T931" s="239"/>
    </row>
    <row r="932" spans="1:20" s="82" customFormat="1" x14ac:dyDescent="0.25">
      <c r="A932" s="24" t="s">
        <v>190</v>
      </c>
      <c r="B932" s="53">
        <v>917</v>
      </c>
      <c r="C932" s="48" t="s">
        <v>37</v>
      </c>
      <c r="D932" s="48" t="s">
        <v>28</v>
      </c>
      <c r="E932" s="48" t="s">
        <v>561</v>
      </c>
      <c r="F932" s="48"/>
      <c r="G932" s="119">
        <f>G933</f>
        <v>18005.899999999998</v>
      </c>
      <c r="H932" s="119">
        <f t="shared" ref="H932:I932" si="314">H933</f>
        <v>18162.599999999999</v>
      </c>
      <c r="I932" s="119">
        <f t="shared" si="314"/>
        <v>9375.2000000000007</v>
      </c>
      <c r="J932" s="185"/>
      <c r="K932" s="239"/>
      <c r="L932" s="239"/>
      <c r="M932" s="239"/>
      <c r="N932" s="239"/>
      <c r="O932" s="239"/>
      <c r="P932" s="239"/>
      <c r="Q932" s="239"/>
      <c r="R932" s="239"/>
      <c r="S932" s="239"/>
      <c r="T932" s="239"/>
    </row>
    <row r="933" spans="1:20" s="82" customFormat="1" ht="25.5" x14ac:dyDescent="0.25">
      <c r="A933" s="24" t="s">
        <v>226</v>
      </c>
      <c r="B933" s="53">
        <v>917</v>
      </c>
      <c r="C933" s="48" t="s">
        <v>37</v>
      </c>
      <c r="D933" s="48" t="s">
        <v>28</v>
      </c>
      <c r="E933" s="48" t="s">
        <v>561</v>
      </c>
      <c r="F933" s="48" t="s">
        <v>59</v>
      </c>
      <c r="G933" s="119">
        <f>12305.8+0.4+5699.7</f>
        <v>18005.899999999998</v>
      </c>
      <c r="H933" s="119">
        <f>3265.1+0.4+6897.1+8000</f>
        <v>18162.599999999999</v>
      </c>
      <c r="I933" s="119">
        <f>9375.1+0.1</f>
        <v>9375.2000000000007</v>
      </c>
      <c r="J933" s="185"/>
      <c r="K933" s="239"/>
      <c r="L933" s="239"/>
      <c r="M933" s="239"/>
      <c r="N933" s="239"/>
      <c r="O933" s="239"/>
      <c r="P933" s="239"/>
      <c r="Q933" s="239"/>
      <c r="R933" s="239"/>
      <c r="S933" s="239"/>
      <c r="T933" s="239"/>
    </row>
    <row r="934" spans="1:20" s="82" customFormat="1" ht="25.5" x14ac:dyDescent="0.25">
      <c r="A934" s="24" t="s">
        <v>191</v>
      </c>
      <c r="B934" s="53">
        <v>917</v>
      </c>
      <c r="C934" s="48" t="s">
        <v>37</v>
      </c>
      <c r="D934" s="48" t="s">
        <v>28</v>
      </c>
      <c r="E934" s="48" t="s">
        <v>557</v>
      </c>
      <c r="F934" s="48"/>
      <c r="G934" s="119">
        <f>G935</f>
        <v>600</v>
      </c>
      <c r="H934" s="119">
        <f>H935</f>
        <v>600</v>
      </c>
      <c r="I934" s="119">
        <f>I935</f>
        <v>1985.7</v>
      </c>
      <c r="J934" s="239"/>
      <c r="K934" s="239"/>
      <c r="L934" s="239"/>
      <c r="M934" s="239"/>
      <c r="N934" s="239"/>
      <c r="O934" s="239"/>
      <c r="P934" s="239"/>
      <c r="Q934" s="239"/>
      <c r="R934" s="239"/>
      <c r="S934" s="239"/>
      <c r="T934" s="239"/>
    </row>
    <row r="935" spans="1:20" s="82" customFormat="1" ht="29.25" customHeight="1" x14ac:dyDescent="0.25">
      <c r="A935" s="24" t="s">
        <v>226</v>
      </c>
      <c r="B935" s="53">
        <v>917</v>
      </c>
      <c r="C935" s="48" t="s">
        <v>37</v>
      </c>
      <c r="D935" s="48" t="s">
        <v>28</v>
      </c>
      <c r="E935" s="48" t="s">
        <v>557</v>
      </c>
      <c r="F935" s="48" t="s">
        <v>59</v>
      </c>
      <c r="G935" s="119">
        <v>600</v>
      </c>
      <c r="H935" s="119">
        <v>600</v>
      </c>
      <c r="I935" s="119">
        <v>1985.7</v>
      </c>
      <c r="J935" s="239"/>
      <c r="K935" s="239"/>
      <c r="L935" s="239"/>
      <c r="M935" s="239"/>
      <c r="N935" s="239"/>
      <c r="O935" s="239"/>
      <c r="P935" s="239"/>
      <c r="Q935" s="239"/>
      <c r="R935" s="239"/>
      <c r="S935" s="239"/>
      <c r="T935" s="239"/>
    </row>
    <row r="936" spans="1:20" s="82" customFormat="1" x14ac:dyDescent="0.25">
      <c r="A936" s="24" t="s">
        <v>192</v>
      </c>
      <c r="B936" s="53">
        <v>917</v>
      </c>
      <c r="C936" s="48" t="s">
        <v>37</v>
      </c>
      <c r="D936" s="48" t="s">
        <v>28</v>
      </c>
      <c r="E936" s="48" t="s">
        <v>558</v>
      </c>
      <c r="F936" s="48"/>
      <c r="G936" s="119">
        <f>G937+G938</f>
        <v>10895.5</v>
      </c>
      <c r="H936" s="119">
        <f t="shared" ref="H936:I936" si="315">H937+H938</f>
        <v>7902.9</v>
      </c>
      <c r="I936" s="119">
        <f t="shared" si="315"/>
        <v>5354.2</v>
      </c>
      <c r="J936" s="239"/>
      <c r="K936" s="239"/>
      <c r="L936" s="239"/>
      <c r="M936" s="239"/>
      <c r="N936" s="239"/>
      <c r="O936" s="239"/>
      <c r="P936" s="239"/>
      <c r="Q936" s="239"/>
      <c r="R936" s="239"/>
      <c r="S936" s="239"/>
      <c r="T936" s="239"/>
    </row>
    <row r="937" spans="1:20" s="82" customFormat="1" ht="29.25" customHeight="1" x14ac:dyDescent="0.25">
      <c r="A937" s="24" t="s">
        <v>226</v>
      </c>
      <c r="B937" s="53">
        <v>917</v>
      </c>
      <c r="C937" s="48" t="s">
        <v>37</v>
      </c>
      <c r="D937" s="48" t="s">
        <v>28</v>
      </c>
      <c r="E937" s="48" t="s">
        <v>558</v>
      </c>
      <c r="F937" s="48" t="s">
        <v>59</v>
      </c>
      <c r="G937" s="119">
        <f>7802.8+595-66+1353.7+1200</f>
        <v>10885.5</v>
      </c>
      <c r="H937" s="119">
        <f>3902.9+4000</f>
        <v>7902.9</v>
      </c>
      <c r="I937" s="119">
        <v>5354.2</v>
      </c>
      <c r="J937" s="133"/>
      <c r="K937" s="239"/>
      <c r="L937" s="239"/>
      <c r="M937" s="239"/>
      <c r="N937" s="239"/>
      <c r="O937" s="239"/>
      <c r="P937" s="239"/>
      <c r="Q937" s="239"/>
      <c r="R937" s="239"/>
      <c r="S937" s="239"/>
      <c r="T937" s="239"/>
    </row>
    <row r="938" spans="1:20" s="82" customFormat="1" ht="25.5" x14ac:dyDescent="0.25">
      <c r="A938" s="24" t="s">
        <v>227</v>
      </c>
      <c r="B938" s="53">
        <v>917</v>
      </c>
      <c r="C938" s="48" t="s">
        <v>37</v>
      </c>
      <c r="D938" s="48" t="s">
        <v>28</v>
      </c>
      <c r="E938" s="48" t="s">
        <v>558</v>
      </c>
      <c r="F938" s="48" t="s">
        <v>193</v>
      </c>
      <c r="G938" s="119">
        <v>10</v>
      </c>
      <c r="H938" s="119">
        <v>0</v>
      </c>
      <c r="I938" s="119">
        <v>0</v>
      </c>
      <c r="J938" s="133"/>
      <c r="K938" s="239"/>
      <c r="L938" s="239"/>
      <c r="M938" s="239"/>
      <c r="N938" s="239"/>
      <c r="O938" s="239"/>
      <c r="P938" s="239"/>
      <c r="Q938" s="239"/>
      <c r="R938" s="239"/>
      <c r="S938" s="239"/>
      <c r="T938" s="239"/>
    </row>
    <row r="939" spans="1:20" s="82" customFormat="1" x14ac:dyDescent="0.25">
      <c r="A939" s="24" t="s">
        <v>903</v>
      </c>
      <c r="B939" s="53">
        <v>917</v>
      </c>
      <c r="C939" s="48" t="s">
        <v>37</v>
      </c>
      <c r="D939" s="48" t="s">
        <v>28</v>
      </c>
      <c r="E939" s="48" t="s">
        <v>898</v>
      </c>
      <c r="F939" s="48"/>
      <c r="G939" s="119">
        <f>G940</f>
        <v>7522.5</v>
      </c>
      <c r="H939" s="119">
        <f t="shared" ref="H939:I939" si="316">H940</f>
        <v>7824.4</v>
      </c>
      <c r="I939" s="119">
        <f t="shared" si="316"/>
        <v>8136.4</v>
      </c>
      <c r="J939" s="133"/>
      <c r="K939" s="239"/>
      <c r="L939" s="239"/>
      <c r="M939" s="239"/>
      <c r="N939" s="239"/>
      <c r="O939" s="239"/>
      <c r="P939" s="239"/>
      <c r="Q939" s="239"/>
      <c r="R939" s="239"/>
      <c r="S939" s="239"/>
      <c r="T939" s="239"/>
    </row>
    <row r="940" spans="1:20" s="82" customFormat="1" ht="25.5" x14ac:dyDescent="0.25">
      <c r="A940" s="24" t="s">
        <v>226</v>
      </c>
      <c r="B940" s="53">
        <v>917</v>
      </c>
      <c r="C940" s="48" t="s">
        <v>37</v>
      </c>
      <c r="D940" s="48" t="s">
        <v>28</v>
      </c>
      <c r="E940" s="48" t="s">
        <v>898</v>
      </c>
      <c r="F940" s="48" t="s">
        <v>59</v>
      </c>
      <c r="G940" s="119">
        <v>7522.5</v>
      </c>
      <c r="H940" s="119">
        <v>7824.4</v>
      </c>
      <c r="I940" s="119">
        <v>8136.4</v>
      </c>
      <c r="J940" s="133"/>
      <c r="K940" s="239"/>
      <c r="L940" s="239"/>
      <c r="M940" s="239"/>
      <c r="N940" s="239"/>
      <c r="O940" s="239"/>
      <c r="P940" s="239"/>
      <c r="Q940" s="239"/>
      <c r="R940" s="239"/>
      <c r="S940" s="239"/>
      <c r="T940" s="239"/>
    </row>
    <row r="941" spans="1:20" s="82" customFormat="1" x14ac:dyDescent="0.25">
      <c r="A941" s="24" t="s">
        <v>904</v>
      </c>
      <c r="B941" s="53">
        <v>917</v>
      </c>
      <c r="C941" s="48" t="s">
        <v>37</v>
      </c>
      <c r="D941" s="48" t="s">
        <v>28</v>
      </c>
      <c r="E941" s="48" t="s">
        <v>874</v>
      </c>
      <c r="F941" s="48"/>
      <c r="G941" s="119">
        <f>G942</f>
        <v>6284.9</v>
      </c>
      <c r="H941" s="119">
        <f t="shared" ref="H941:I941" si="317">H942</f>
        <v>0</v>
      </c>
      <c r="I941" s="119">
        <f t="shared" si="317"/>
        <v>6865.2</v>
      </c>
      <c r="J941" s="133"/>
      <c r="K941" s="239"/>
      <c r="L941" s="239"/>
      <c r="M941" s="239"/>
      <c r="N941" s="239"/>
      <c r="O941" s="239"/>
      <c r="P941" s="239"/>
      <c r="Q941" s="239"/>
      <c r="R941" s="239"/>
      <c r="S941" s="239"/>
      <c r="T941" s="239"/>
    </row>
    <row r="942" spans="1:20" s="82" customFormat="1" ht="24.75" customHeight="1" x14ac:dyDescent="0.25">
      <c r="A942" s="24" t="s">
        <v>226</v>
      </c>
      <c r="B942" s="53">
        <v>917</v>
      </c>
      <c r="C942" s="48" t="s">
        <v>37</v>
      </c>
      <c r="D942" s="48" t="s">
        <v>28</v>
      </c>
      <c r="E942" s="48" t="s">
        <v>874</v>
      </c>
      <c r="F942" s="48" t="s">
        <v>59</v>
      </c>
      <c r="G942" s="119">
        <v>6284.9</v>
      </c>
      <c r="H942" s="119">
        <v>0</v>
      </c>
      <c r="I942" s="119">
        <v>6865.2</v>
      </c>
      <c r="J942" s="133"/>
      <c r="K942" s="239"/>
      <c r="L942" s="239"/>
      <c r="M942" s="239"/>
      <c r="N942" s="239"/>
      <c r="O942" s="239"/>
      <c r="P942" s="239"/>
      <c r="Q942" s="239"/>
      <c r="R942" s="239"/>
      <c r="S942" s="239"/>
      <c r="T942" s="239"/>
    </row>
    <row r="943" spans="1:20" s="82" customFormat="1" x14ac:dyDescent="0.25">
      <c r="A943" s="24" t="s">
        <v>834</v>
      </c>
      <c r="B943" s="53">
        <v>917</v>
      </c>
      <c r="C943" s="48" t="s">
        <v>37</v>
      </c>
      <c r="D943" s="48" t="s">
        <v>28</v>
      </c>
      <c r="E943" s="48" t="s">
        <v>233</v>
      </c>
      <c r="F943" s="48"/>
      <c r="G943" s="119">
        <f>G944+G946</f>
        <v>62574.5</v>
      </c>
      <c r="H943" s="119">
        <f t="shared" ref="H943:I943" si="318">H944+H946</f>
        <v>60054.5</v>
      </c>
      <c r="I943" s="119">
        <f t="shared" si="318"/>
        <v>100478.6</v>
      </c>
      <c r="J943" s="239"/>
      <c r="K943" s="239"/>
      <c r="L943" s="239"/>
      <c r="M943" s="239"/>
      <c r="N943" s="239"/>
      <c r="O943" s="239"/>
      <c r="P943" s="239"/>
      <c r="Q943" s="239"/>
      <c r="R943" s="239"/>
      <c r="S943" s="239"/>
      <c r="T943" s="239"/>
    </row>
    <row r="944" spans="1:20" s="82" customFormat="1" x14ac:dyDescent="0.25">
      <c r="A944" s="24" t="s">
        <v>563</v>
      </c>
      <c r="B944" s="53">
        <v>917</v>
      </c>
      <c r="C944" s="48" t="s">
        <v>37</v>
      </c>
      <c r="D944" s="48" t="s">
        <v>28</v>
      </c>
      <c r="E944" s="48" t="s">
        <v>562</v>
      </c>
      <c r="F944" s="48"/>
      <c r="G944" s="119">
        <f>G945</f>
        <v>50956.9</v>
      </c>
      <c r="H944" s="119">
        <f t="shared" ref="H944:I944" si="319">H945</f>
        <v>48054.5</v>
      </c>
      <c r="I944" s="119">
        <f t="shared" si="319"/>
        <v>87778.6</v>
      </c>
      <c r="J944" s="239"/>
      <c r="K944" s="239"/>
      <c r="L944" s="239"/>
      <c r="M944" s="239"/>
      <c r="N944" s="239"/>
      <c r="O944" s="239"/>
      <c r="P944" s="239"/>
      <c r="Q944" s="239"/>
      <c r="R944" s="239"/>
      <c r="S944" s="239"/>
      <c r="T944" s="239"/>
    </row>
    <row r="945" spans="1:20" s="82" customFormat="1" ht="25.5" x14ac:dyDescent="0.25">
      <c r="A945" s="24" t="s">
        <v>226</v>
      </c>
      <c r="B945" s="53">
        <v>917</v>
      </c>
      <c r="C945" s="48" t="s">
        <v>37</v>
      </c>
      <c r="D945" s="48" t="s">
        <v>28</v>
      </c>
      <c r="E945" s="48" t="s">
        <v>562</v>
      </c>
      <c r="F945" s="48" t="s">
        <v>59</v>
      </c>
      <c r="G945" s="119">
        <f>50956.9-10000+10000</f>
        <v>50956.9</v>
      </c>
      <c r="H945" s="119">
        <f>75237.2-27182.7</f>
        <v>48054.5</v>
      </c>
      <c r="I945" s="119">
        <v>87778.6</v>
      </c>
      <c r="J945" s="239"/>
      <c r="K945" s="239"/>
      <c r="L945" s="239"/>
      <c r="M945" s="239"/>
      <c r="N945" s="239"/>
      <c r="O945" s="239"/>
      <c r="P945" s="239"/>
      <c r="Q945" s="239"/>
      <c r="R945" s="239"/>
      <c r="S945" s="239"/>
      <c r="T945" s="239"/>
    </row>
    <row r="946" spans="1:20" s="82" customFormat="1" x14ac:dyDescent="0.25">
      <c r="A946" s="24" t="s">
        <v>565</v>
      </c>
      <c r="B946" s="53">
        <v>917</v>
      </c>
      <c r="C946" s="48" t="s">
        <v>37</v>
      </c>
      <c r="D946" s="48" t="s">
        <v>28</v>
      </c>
      <c r="E946" s="48" t="s">
        <v>564</v>
      </c>
      <c r="F946" s="48"/>
      <c r="G946" s="119">
        <f>G947</f>
        <v>11617.6</v>
      </c>
      <c r="H946" s="119">
        <f t="shared" ref="H946" si="320">H947</f>
        <v>12000</v>
      </c>
      <c r="I946" s="119">
        <f t="shared" ref="I946" si="321">I947</f>
        <v>12700</v>
      </c>
      <c r="J946" s="239"/>
      <c r="K946" s="239"/>
      <c r="L946" s="239"/>
      <c r="M946" s="239"/>
      <c r="N946" s="239"/>
      <c r="O946" s="239"/>
      <c r="P946" s="239"/>
      <c r="Q946" s="239"/>
      <c r="R946" s="239"/>
      <c r="S946" s="239"/>
      <c r="T946" s="239"/>
    </row>
    <row r="947" spans="1:20" s="82" customFormat="1" ht="25.5" x14ac:dyDescent="0.25">
      <c r="A947" s="24" t="s">
        <v>226</v>
      </c>
      <c r="B947" s="53">
        <v>917</v>
      </c>
      <c r="C947" s="48" t="s">
        <v>37</v>
      </c>
      <c r="D947" s="48" t="s">
        <v>28</v>
      </c>
      <c r="E947" s="48" t="s">
        <v>564</v>
      </c>
      <c r="F947" s="48" t="s">
        <v>59</v>
      </c>
      <c r="G947" s="119">
        <f>12000+170.9-553.3</f>
        <v>11617.6</v>
      </c>
      <c r="H947" s="119">
        <f>2000+10000</f>
        <v>12000</v>
      </c>
      <c r="I947" s="119">
        <v>12700</v>
      </c>
      <c r="J947" s="239"/>
      <c r="K947" s="239"/>
      <c r="L947" s="239"/>
      <c r="M947" s="239"/>
      <c r="N947" s="239"/>
      <c r="O947" s="239"/>
      <c r="P947" s="239"/>
      <c r="Q947" s="239"/>
      <c r="R947" s="239"/>
      <c r="S947" s="239"/>
      <c r="T947" s="239"/>
    </row>
    <row r="948" spans="1:20" s="82" customFormat="1" x14ac:dyDescent="0.25">
      <c r="A948" s="24" t="s">
        <v>835</v>
      </c>
      <c r="B948" s="53">
        <v>917</v>
      </c>
      <c r="C948" s="48" t="s">
        <v>37</v>
      </c>
      <c r="D948" s="48" t="s">
        <v>28</v>
      </c>
      <c r="E948" s="48" t="s">
        <v>639</v>
      </c>
      <c r="F948" s="48"/>
      <c r="G948" s="119">
        <f>G949+G951</f>
        <v>66323.600000000006</v>
      </c>
      <c r="H948" s="119">
        <f t="shared" ref="H948:I948" si="322">H949+H951</f>
        <v>51248.2</v>
      </c>
      <c r="I948" s="119">
        <f t="shared" si="322"/>
        <v>47859.8</v>
      </c>
      <c r="J948" s="239"/>
      <c r="K948" s="239"/>
      <c r="L948" s="239"/>
      <c r="M948" s="239"/>
      <c r="N948" s="239"/>
      <c r="O948" s="239"/>
      <c r="P948" s="239"/>
      <c r="Q948" s="239"/>
      <c r="R948" s="239"/>
      <c r="S948" s="239"/>
      <c r="T948" s="239"/>
    </row>
    <row r="949" spans="1:20" s="82" customFormat="1" ht="38.25" x14ac:dyDescent="0.25">
      <c r="A949" s="24" t="s">
        <v>668</v>
      </c>
      <c r="B949" s="53">
        <v>917</v>
      </c>
      <c r="C949" s="48" t="s">
        <v>37</v>
      </c>
      <c r="D949" s="48" t="s">
        <v>28</v>
      </c>
      <c r="E949" s="48" t="s">
        <v>640</v>
      </c>
      <c r="F949" s="48"/>
      <c r="G949" s="119">
        <f>G950</f>
        <v>58957.5</v>
      </c>
      <c r="H949" s="119">
        <f t="shared" ref="H949:I949" si="323">H950</f>
        <v>51248.2</v>
      </c>
      <c r="I949" s="119">
        <f t="shared" si="323"/>
        <v>47859.8</v>
      </c>
      <c r="J949" s="239"/>
      <c r="K949" s="239"/>
      <c r="L949" s="239"/>
      <c r="M949" s="239"/>
      <c r="N949" s="239"/>
      <c r="O949" s="239"/>
      <c r="P949" s="239"/>
      <c r="Q949" s="239"/>
      <c r="R949" s="239"/>
      <c r="S949" s="239"/>
      <c r="T949" s="239"/>
    </row>
    <row r="950" spans="1:20" s="82" customFormat="1" x14ac:dyDescent="0.25">
      <c r="A950" s="24" t="s">
        <v>61</v>
      </c>
      <c r="B950" s="53">
        <v>917</v>
      </c>
      <c r="C950" s="48" t="s">
        <v>37</v>
      </c>
      <c r="D950" s="48" t="s">
        <v>28</v>
      </c>
      <c r="E950" s="48" t="s">
        <v>640</v>
      </c>
      <c r="F950" s="48" t="s">
        <v>62</v>
      </c>
      <c r="G950" s="119">
        <f>65145.7-4988.2-1200</f>
        <v>58957.5</v>
      </c>
      <c r="H950" s="119">
        <f>21248.2+30000</f>
        <v>51248.2</v>
      </c>
      <c r="I950" s="119">
        <v>47859.8</v>
      </c>
      <c r="J950" s="239"/>
      <c r="K950" s="239"/>
      <c r="L950" s="239"/>
      <c r="M950" s="239"/>
      <c r="N950" s="239"/>
      <c r="O950" s="239"/>
      <c r="P950" s="239"/>
      <c r="Q950" s="239"/>
      <c r="R950" s="239"/>
      <c r="S950" s="239"/>
      <c r="T950" s="239"/>
    </row>
    <row r="951" spans="1:20" s="82" customFormat="1" ht="38.25" x14ac:dyDescent="0.25">
      <c r="A951" s="24" t="s">
        <v>968</v>
      </c>
      <c r="B951" s="53">
        <v>917</v>
      </c>
      <c r="C951" s="48" t="s">
        <v>37</v>
      </c>
      <c r="D951" s="48" t="s">
        <v>28</v>
      </c>
      <c r="E951" s="48" t="s">
        <v>967</v>
      </c>
      <c r="F951" s="48"/>
      <c r="G951" s="119">
        <f>G952</f>
        <v>7366.1</v>
      </c>
      <c r="H951" s="119">
        <f t="shared" ref="H951:I951" si="324">H952</f>
        <v>0</v>
      </c>
      <c r="I951" s="119">
        <f t="shared" si="324"/>
        <v>0</v>
      </c>
      <c r="J951" s="239"/>
      <c r="K951" s="239"/>
      <c r="L951" s="239"/>
      <c r="M951" s="239"/>
      <c r="N951" s="239"/>
      <c r="O951" s="239"/>
      <c r="P951" s="239"/>
      <c r="Q951" s="239"/>
      <c r="R951" s="239"/>
      <c r="S951" s="239"/>
      <c r="T951" s="239"/>
    </row>
    <row r="952" spans="1:20" s="82" customFormat="1" x14ac:dyDescent="0.25">
      <c r="A952" s="24" t="s">
        <v>61</v>
      </c>
      <c r="B952" s="53">
        <v>917</v>
      </c>
      <c r="C952" s="48" t="s">
        <v>37</v>
      </c>
      <c r="D952" s="48" t="s">
        <v>28</v>
      </c>
      <c r="E952" s="48" t="s">
        <v>967</v>
      </c>
      <c r="F952" s="48" t="s">
        <v>62</v>
      </c>
      <c r="G952" s="119">
        <f>6166.1+1200</f>
        <v>7366.1</v>
      </c>
      <c r="H952" s="119">
        <v>0</v>
      </c>
      <c r="I952" s="119">
        <v>0</v>
      </c>
      <c r="J952" s="239"/>
      <c r="K952" s="239"/>
      <c r="L952" s="239"/>
      <c r="M952" s="239"/>
      <c r="N952" s="239"/>
      <c r="O952" s="239"/>
      <c r="P952" s="239"/>
      <c r="Q952" s="239"/>
      <c r="R952" s="239"/>
      <c r="S952" s="239"/>
      <c r="T952" s="239"/>
    </row>
    <row r="953" spans="1:20" s="82" customFormat="1" ht="25.5" x14ac:dyDescent="0.25">
      <c r="A953" s="24" t="s">
        <v>836</v>
      </c>
      <c r="B953" s="53">
        <v>917</v>
      </c>
      <c r="C953" s="48" t="s">
        <v>37</v>
      </c>
      <c r="D953" s="48" t="s">
        <v>28</v>
      </c>
      <c r="E953" s="48" t="s">
        <v>663</v>
      </c>
      <c r="F953" s="48"/>
      <c r="G953" s="119">
        <f>G954+G956+G958</f>
        <v>9467</v>
      </c>
      <c r="H953" s="119">
        <f>H954+H956+H958</f>
        <v>26479.5</v>
      </c>
      <c r="I953" s="119">
        <f>I954+I956+I958</f>
        <v>46750.7</v>
      </c>
      <c r="J953" s="156"/>
      <c r="K953" s="157"/>
      <c r="L953" s="239"/>
      <c r="M953" s="239"/>
      <c r="N953" s="239"/>
      <c r="O953" s="239"/>
      <c r="P953" s="239"/>
      <c r="Q953" s="239"/>
      <c r="R953" s="239"/>
      <c r="S953" s="239"/>
      <c r="T953" s="239"/>
    </row>
    <row r="954" spans="1:20" s="82" customFormat="1" ht="25.5" x14ac:dyDescent="0.25">
      <c r="A954" s="24" t="s">
        <v>665</v>
      </c>
      <c r="B954" s="53">
        <v>917</v>
      </c>
      <c r="C954" s="48" t="s">
        <v>37</v>
      </c>
      <c r="D954" s="48" t="s">
        <v>28</v>
      </c>
      <c r="E954" s="48" t="s">
        <v>664</v>
      </c>
      <c r="F954" s="48"/>
      <c r="G954" s="119">
        <f>G955</f>
        <v>9467</v>
      </c>
      <c r="H954" s="119">
        <f t="shared" ref="H954:I954" si="325">H955</f>
        <v>0</v>
      </c>
      <c r="I954" s="119">
        <f t="shared" si="325"/>
        <v>0</v>
      </c>
      <c r="J954" s="156"/>
      <c r="K954" s="157"/>
      <c r="L954" s="239"/>
      <c r="M954" s="239"/>
      <c r="N954" s="239"/>
      <c r="O954" s="239"/>
      <c r="P954" s="239"/>
      <c r="Q954" s="239"/>
      <c r="R954" s="239"/>
      <c r="S954" s="239"/>
      <c r="T954" s="239"/>
    </row>
    <row r="955" spans="1:20" s="82" customFormat="1" ht="25.5" x14ac:dyDescent="0.25">
      <c r="A955" s="24" t="s">
        <v>226</v>
      </c>
      <c r="B955" s="53">
        <v>917</v>
      </c>
      <c r="C955" s="48" t="s">
        <v>37</v>
      </c>
      <c r="D955" s="48" t="s">
        <v>28</v>
      </c>
      <c r="E955" s="48" t="s">
        <v>664</v>
      </c>
      <c r="F955" s="48" t="s">
        <v>59</v>
      </c>
      <c r="G955" s="119">
        <v>9467</v>
      </c>
      <c r="H955" s="119">
        <v>0</v>
      </c>
      <c r="I955" s="119">
        <v>0</v>
      </c>
      <c r="J955" s="239"/>
      <c r="K955" s="239"/>
      <c r="L955" s="239"/>
      <c r="M955" s="239"/>
      <c r="N955" s="239"/>
      <c r="O955" s="239"/>
      <c r="P955" s="239"/>
      <c r="Q955" s="239"/>
      <c r="R955" s="239"/>
      <c r="S955" s="239"/>
      <c r="T955" s="239"/>
    </row>
    <row r="956" spans="1:20" s="82" customFormat="1" ht="25.5" x14ac:dyDescent="0.25">
      <c r="A956" s="24" t="s">
        <v>707</v>
      </c>
      <c r="B956" s="53">
        <v>917</v>
      </c>
      <c r="C956" s="48" t="s">
        <v>37</v>
      </c>
      <c r="D956" s="48" t="s">
        <v>28</v>
      </c>
      <c r="E956" s="48" t="s">
        <v>706</v>
      </c>
      <c r="F956" s="48"/>
      <c r="G956" s="119">
        <f>G957</f>
        <v>0</v>
      </c>
      <c r="H956" s="119">
        <f t="shared" ref="H956:I956" si="326">H957</f>
        <v>10445</v>
      </c>
      <c r="I956" s="119">
        <f t="shared" si="326"/>
        <v>10445</v>
      </c>
      <c r="J956" s="239"/>
      <c r="K956" s="239"/>
      <c r="L956" s="239"/>
      <c r="M956" s="239"/>
      <c r="N956" s="239"/>
      <c r="O956" s="239"/>
      <c r="P956" s="239"/>
      <c r="Q956" s="239"/>
      <c r="R956" s="239"/>
      <c r="S956" s="239"/>
      <c r="T956" s="239"/>
    </row>
    <row r="957" spans="1:20" s="82" customFormat="1" ht="25.5" x14ac:dyDescent="0.25">
      <c r="A957" s="24" t="s">
        <v>226</v>
      </c>
      <c r="B957" s="53">
        <v>917</v>
      </c>
      <c r="C957" s="48" t="s">
        <v>37</v>
      </c>
      <c r="D957" s="48" t="s">
        <v>28</v>
      </c>
      <c r="E957" s="48" t="s">
        <v>706</v>
      </c>
      <c r="F957" s="48" t="s">
        <v>59</v>
      </c>
      <c r="G957" s="119">
        <v>0</v>
      </c>
      <c r="H957" s="119">
        <v>10445</v>
      </c>
      <c r="I957" s="119">
        <v>10445</v>
      </c>
      <c r="J957" s="239"/>
      <c r="K957" s="239"/>
      <c r="L957" s="239"/>
      <c r="M957" s="239"/>
      <c r="N957" s="239"/>
      <c r="O957" s="239"/>
      <c r="P957" s="239"/>
      <c r="Q957" s="239"/>
      <c r="R957" s="239"/>
      <c r="S957" s="239"/>
      <c r="T957" s="239"/>
    </row>
    <row r="958" spans="1:20" s="82" customFormat="1" ht="25.5" x14ac:dyDescent="0.25">
      <c r="A958" s="24" t="s">
        <v>921</v>
      </c>
      <c r="B958" s="53">
        <v>917</v>
      </c>
      <c r="C958" s="48" t="s">
        <v>37</v>
      </c>
      <c r="D958" s="48" t="s">
        <v>28</v>
      </c>
      <c r="E958" s="48" t="s">
        <v>922</v>
      </c>
      <c r="F958" s="48"/>
      <c r="G958" s="119">
        <f>G959</f>
        <v>0</v>
      </c>
      <c r="H958" s="119">
        <f t="shared" ref="H958:I958" si="327">H959</f>
        <v>16034.5</v>
      </c>
      <c r="I958" s="119">
        <f t="shared" si="327"/>
        <v>36305.699999999997</v>
      </c>
      <c r="J958" s="239"/>
      <c r="K958" s="239"/>
      <c r="L958" s="239"/>
      <c r="M958" s="239"/>
      <c r="N958" s="239"/>
      <c r="O958" s="239"/>
      <c r="P958" s="239"/>
      <c r="Q958" s="239"/>
      <c r="R958" s="239"/>
      <c r="S958" s="239"/>
      <c r="T958" s="239"/>
    </row>
    <row r="959" spans="1:20" s="82" customFormat="1" ht="25.5" x14ac:dyDescent="0.25">
      <c r="A959" s="24" t="s">
        <v>226</v>
      </c>
      <c r="B959" s="53">
        <v>917</v>
      </c>
      <c r="C959" s="48" t="s">
        <v>37</v>
      </c>
      <c r="D959" s="48" t="s">
        <v>28</v>
      </c>
      <c r="E959" s="48" t="s">
        <v>922</v>
      </c>
      <c r="F959" s="48" t="s">
        <v>59</v>
      </c>
      <c r="G959" s="119">
        <v>0</v>
      </c>
      <c r="H959" s="119">
        <v>16034.5</v>
      </c>
      <c r="I959" s="119">
        <v>36305.699999999997</v>
      </c>
      <c r="J959" s="239"/>
      <c r="K959" s="239"/>
      <c r="L959" s="239"/>
      <c r="M959" s="239"/>
      <c r="N959" s="239"/>
      <c r="O959" s="239"/>
      <c r="P959" s="239"/>
      <c r="Q959" s="239"/>
      <c r="R959" s="239"/>
      <c r="S959" s="239"/>
      <c r="T959" s="239"/>
    </row>
    <row r="960" spans="1:20" s="82" customFormat="1" ht="25.5" x14ac:dyDescent="0.25">
      <c r="A960" s="24" t="s">
        <v>566</v>
      </c>
      <c r="B960" s="53">
        <v>917</v>
      </c>
      <c r="C960" s="48" t="s">
        <v>37</v>
      </c>
      <c r="D960" s="48" t="s">
        <v>28</v>
      </c>
      <c r="E960" s="48" t="s">
        <v>310</v>
      </c>
      <c r="F960" s="48"/>
      <c r="G960" s="119">
        <f>G961+G967+G971</f>
        <v>703551.9</v>
      </c>
      <c r="H960" s="119">
        <f>H961+H967+H971</f>
        <v>111655.5</v>
      </c>
      <c r="I960" s="119">
        <f>I961+I967+I971</f>
        <v>78721.899999999994</v>
      </c>
      <c r="J960" s="239"/>
      <c r="K960" s="239"/>
      <c r="L960" s="239"/>
      <c r="M960" s="239"/>
      <c r="N960" s="239"/>
      <c r="O960" s="239"/>
      <c r="P960" s="239"/>
      <c r="Q960" s="239"/>
      <c r="R960" s="239"/>
      <c r="S960" s="239"/>
      <c r="T960" s="239"/>
    </row>
    <row r="961" spans="1:20" s="82" customFormat="1" ht="38.25" x14ac:dyDescent="0.25">
      <c r="A961" s="24" t="s">
        <v>837</v>
      </c>
      <c r="B961" s="53">
        <v>917</v>
      </c>
      <c r="C961" s="48" t="s">
        <v>37</v>
      </c>
      <c r="D961" s="48" t="s">
        <v>28</v>
      </c>
      <c r="E961" s="48" t="s">
        <v>602</v>
      </c>
      <c r="F961" s="48"/>
      <c r="G961" s="119">
        <f>G962+G964</f>
        <v>6076.5999999999995</v>
      </c>
      <c r="H961" s="119">
        <f t="shared" ref="H961:I961" si="328">H962+H964</f>
        <v>420</v>
      </c>
      <c r="I961" s="119">
        <f t="shared" si="328"/>
        <v>420</v>
      </c>
      <c r="J961" s="239"/>
      <c r="K961" s="239"/>
      <c r="L961" s="239"/>
      <c r="M961" s="239"/>
      <c r="N961" s="239"/>
      <c r="O961" s="239"/>
      <c r="P961" s="239"/>
      <c r="Q961" s="239"/>
      <c r="R961" s="239"/>
      <c r="S961" s="239"/>
      <c r="T961" s="239"/>
    </row>
    <row r="962" spans="1:20" s="82" customFormat="1" ht="38.25" x14ac:dyDescent="0.25">
      <c r="A962" s="24" t="s">
        <v>603</v>
      </c>
      <c r="B962" s="53">
        <v>917</v>
      </c>
      <c r="C962" s="48" t="s">
        <v>37</v>
      </c>
      <c r="D962" s="48" t="s">
        <v>28</v>
      </c>
      <c r="E962" s="48" t="s">
        <v>604</v>
      </c>
      <c r="F962" s="48"/>
      <c r="G962" s="119">
        <f>G963</f>
        <v>458.2</v>
      </c>
      <c r="H962" s="119">
        <f t="shared" ref="H962:I962" si="329">H963</f>
        <v>420</v>
      </c>
      <c r="I962" s="119">
        <f t="shared" si="329"/>
        <v>420</v>
      </c>
      <c r="J962" s="239"/>
      <c r="K962" s="239"/>
      <c r="L962" s="239"/>
      <c r="M962" s="239"/>
      <c r="N962" s="239"/>
      <c r="O962" s="239"/>
      <c r="P962" s="239"/>
      <c r="Q962" s="239"/>
      <c r="R962" s="239"/>
      <c r="S962" s="239"/>
      <c r="T962" s="239"/>
    </row>
    <row r="963" spans="1:20" s="82" customFormat="1" ht="25.5" x14ac:dyDescent="0.25">
      <c r="A963" s="24" t="s">
        <v>226</v>
      </c>
      <c r="B963" s="53">
        <v>917</v>
      </c>
      <c r="C963" s="48" t="s">
        <v>37</v>
      </c>
      <c r="D963" s="48" t="s">
        <v>28</v>
      </c>
      <c r="E963" s="48" t="s">
        <v>604</v>
      </c>
      <c r="F963" s="48" t="s">
        <v>59</v>
      </c>
      <c r="G963" s="119">
        <f>420+38.2</f>
        <v>458.2</v>
      </c>
      <c r="H963" s="119">
        <v>420</v>
      </c>
      <c r="I963" s="119">
        <v>420</v>
      </c>
      <c r="J963" s="184"/>
      <c r="K963" s="239"/>
      <c r="L963" s="239"/>
      <c r="M963" s="239"/>
      <c r="N963" s="239"/>
      <c r="O963" s="239"/>
      <c r="P963" s="239"/>
      <c r="Q963" s="239"/>
      <c r="R963" s="239"/>
      <c r="S963" s="239"/>
      <c r="T963" s="239"/>
    </row>
    <row r="964" spans="1:20" s="82" customFormat="1" ht="25.5" x14ac:dyDescent="0.25">
      <c r="A964" s="24" t="s">
        <v>724</v>
      </c>
      <c r="B964" s="53">
        <v>917</v>
      </c>
      <c r="C964" s="48" t="s">
        <v>37</v>
      </c>
      <c r="D964" s="48" t="s">
        <v>28</v>
      </c>
      <c r="E964" s="48" t="s">
        <v>725</v>
      </c>
      <c r="F964" s="48"/>
      <c r="G964" s="119">
        <f>G965</f>
        <v>5618.4</v>
      </c>
      <c r="H964" s="119">
        <f t="shared" ref="H964:I965" si="330">H965</f>
        <v>0</v>
      </c>
      <c r="I964" s="119">
        <f t="shared" si="330"/>
        <v>0</v>
      </c>
      <c r="J964" s="184"/>
      <c r="K964" s="239"/>
      <c r="L964" s="239"/>
      <c r="M964" s="239"/>
      <c r="N964" s="239"/>
      <c r="O964" s="239"/>
      <c r="P964" s="239"/>
      <c r="Q964" s="239"/>
      <c r="R964" s="239"/>
      <c r="S964" s="239"/>
      <c r="T964" s="239"/>
    </row>
    <row r="965" spans="1:20" s="82" customFormat="1" ht="38.25" x14ac:dyDescent="0.25">
      <c r="A965" s="24" t="s">
        <v>726</v>
      </c>
      <c r="B965" s="53">
        <v>917</v>
      </c>
      <c r="C965" s="48" t="s">
        <v>37</v>
      </c>
      <c r="D965" s="48" t="s">
        <v>28</v>
      </c>
      <c r="E965" s="48" t="s">
        <v>727</v>
      </c>
      <c r="F965" s="48"/>
      <c r="G965" s="119">
        <f>G966</f>
        <v>5618.4</v>
      </c>
      <c r="H965" s="119">
        <f t="shared" si="330"/>
        <v>0</v>
      </c>
      <c r="I965" s="119">
        <f t="shared" si="330"/>
        <v>0</v>
      </c>
      <c r="J965" s="184"/>
      <c r="K965" s="239"/>
      <c r="L965" s="239"/>
      <c r="M965" s="239"/>
      <c r="N965" s="239"/>
      <c r="O965" s="239"/>
      <c r="P965" s="239"/>
      <c r="Q965" s="239"/>
      <c r="R965" s="239"/>
      <c r="S965" s="239"/>
      <c r="T965" s="239"/>
    </row>
    <row r="966" spans="1:20" s="82" customFormat="1" x14ac:dyDescent="0.25">
      <c r="A966" s="24" t="s">
        <v>95</v>
      </c>
      <c r="B966" s="53">
        <v>917</v>
      </c>
      <c r="C966" s="48" t="s">
        <v>37</v>
      </c>
      <c r="D966" s="48" t="s">
        <v>28</v>
      </c>
      <c r="E966" s="48" t="s">
        <v>727</v>
      </c>
      <c r="F966" s="48" t="s">
        <v>62</v>
      </c>
      <c r="G966" s="119">
        <f>6690.4-581-491</f>
        <v>5618.4</v>
      </c>
      <c r="H966" s="119">
        <v>0</v>
      </c>
      <c r="I966" s="119">
        <v>0</v>
      </c>
      <c r="J966" s="184"/>
      <c r="K966" s="239"/>
      <c r="L966" s="239"/>
      <c r="M966" s="239"/>
      <c r="N966" s="239"/>
      <c r="O966" s="239"/>
      <c r="P966" s="239"/>
      <c r="Q966" s="239"/>
      <c r="R966" s="239"/>
      <c r="S966" s="239"/>
      <c r="T966" s="239"/>
    </row>
    <row r="967" spans="1:20" s="82" customFormat="1" ht="25.5" x14ac:dyDescent="0.25">
      <c r="A967" s="24" t="s">
        <v>838</v>
      </c>
      <c r="B967" s="53">
        <v>917</v>
      </c>
      <c r="C967" s="48" t="s">
        <v>37</v>
      </c>
      <c r="D967" s="48" t="s">
        <v>28</v>
      </c>
      <c r="E967" s="48" t="s">
        <v>644</v>
      </c>
      <c r="F967" s="48"/>
      <c r="G967" s="119">
        <f>G968</f>
        <v>8752.7999999999993</v>
      </c>
      <c r="H967" s="119">
        <f t="shared" ref="H967:I967" si="331">H968</f>
        <v>1000</v>
      </c>
      <c r="I967" s="119">
        <f t="shared" si="331"/>
        <v>0</v>
      </c>
      <c r="J967" s="184"/>
      <c r="K967" s="239"/>
      <c r="L967" s="239"/>
      <c r="M967" s="239"/>
      <c r="N967" s="239"/>
      <c r="O967" s="239"/>
      <c r="P967" s="239"/>
      <c r="Q967" s="239"/>
      <c r="R967" s="239"/>
      <c r="S967" s="239"/>
      <c r="T967" s="239"/>
    </row>
    <row r="968" spans="1:20" s="82" customFormat="1" ht="25.5" x14ac:dyDescent="0.25">
      <c r="A968" s="24" t="s">
        <v>646</v>
      </c>
      <c r="B968" s="53">
        <v>917</v>
      </c>
      <c r="C968" s="48" t="s">
        <v>37</v>
      </c>
      <c r="D968" s="48" t="s">
        <v>28</v>
      </c>
      <c r="E968" s="48" t="s">
        <v>645</v>
      </c>
      <c r="F968" s="48"/>
      <c r="G968" s="119">
        <f>G969+G970</f>
        <v>8752.7999999999993</v>
      </c>
      <c r="H968" s="119">
        <f t="shared" ref="H968:I968" si="332">H969+H970</f>
        <v>1000</v>
      </c>
      <c r="I968" s="119">
        <f t="shared" si="332"/>
        <v>0</v>
      </c>
      <c r="J968" s="184"/>
      <c r="K968" s="239"/>
      <c r="L968" s="239"/>
      <c r="M968" s="239"/>
      <c r="N968" s="239"/>
      <c r="O968" s="239"/>
      <c r="P968" s="239"/>
      <c r="Q968" s="239"/>
      <c r="R968" s="239"/>
      <c r="S968" s="239"/>
      <c r="T968" s="239"/>
    </row>
    <row r="969" spans="1:20" s="82" customFormat="1" ht="25.5" x14ac:dyDescent="0.25">
      <c r="A969" s="24" t="s">
        <v>226</v>
      </c>
      <c r="B969" s="53">
        <v>917</v>
      </c>
      <c r="C969" s="48" t="s">
        <v>37</v>
      </c>
      <c r="D969" s="48" t="s">
        <v>28</v>
      </c>
      <c r="E969" s="48" t="s">
        <v>645</v>
      </c>
      <c r="F969" s="48" t="s">
        <v>59</v>
      </c>
      <c r="G969" s="119">
        <f>3790+23141.8-23141.8+713.2+2400+210+66+1433.3+98.3</f>
        <v>8710.7999999999993</v>
      </c>
      <c r="H969" s="119">
        <v>1000</v>
      </c>
      <c r="I969" s="119">
        <v>0</v>
      </c>
      <c r="J969" s="184"/>
      <c r="K969" s="239"/>
      <c r="L969" s="239"/>
      <c r="M969" s="239"/>
      <c r="N969" s="239"/>
      <c r="O969" s="239"/>
      <c r="P969" s="239"/>
      <c r="Q969" s="239"/>
      <c r="R969" s="239"/>
      <c r="S969" s="239"/>
      <c r="T969" s="239"/>
    </row>
    <row r="970" spans="1:20" s="82" customFormat="1" ht="25.5" x14ac:dyDescent="0.25">
      <c r="A970" s="24" t="s">
        <v>227</v>
      </c>
      <c r="B970" s="53">
        <v>917</v>
      </c>
      <c r="C970" s="48" t="s">
        <v>37</v>
      </c>
      <c r="D970" s="48" t="s">
        <v>28</v>
      </c>
      <c r="E970" s="48" t="s">
        <v>645</v>
      </c>
      <c r="F970" s="48" t="s">
        <v>193</v>
      </c>
      <c r="G970" s="119">
        <v>42</v>
      </c>
      <c r="H970" s="119">
        <v>0</v>
      </c>
      <c r="I970" s="119">
        <v>0</v>
      </c>
      <c r="J970" s="184"/>
      <c r="K970" s="239"/>
      <c r="L970" s="239"/>
      <c r="M970" s="239"/>
      <c r="N970" s="239"/>
      <c r="O970" s="239"/>
      <c r="P970" s="239"/>
      <c r="Q970" s="239"/>
      <c r="R970" s="239"/>
      <c r="S970" s="239"/>
      <c r="T970" s="239"/>
    </row>
    <row r="971" spans="1:20" s="82" customFormat="1" ht="25.5" x14ac:dyDescent="0.25">
      <c r="A971" s="24" t="s">
        <v>839</v>
      </c>
      <c r="B971" s="53">
        <v>917</v>
      </c>
      <c r="C971" s="48" t="s">
        <v>37</v>
      </c>
      <c r="D971" s="48" t="s">
        <v>28</v>
      </c>
      <c r="E971" s="48" t="s">
        <v>942</v>
      </c>
      <c r="F971" s="48"/>
      <c r="G971" s="119">
        <f>G972+G974</f>
        <v>688722.5</v>
      </c>
      <c r="H971" s="119">
        <f t="shared" ref="H971:I971" si="333">H972+H974</f>
        <v>110235.5</v>
      </c>
      <c r="I971" s="119">
        <f t="shared" si="333"/>
        <v>78301.899999999994</v>
      </c>
      <c r="J971" s="184"/>
      <c r="K971" s="239"/>
      <c r="L971" s="239"/>
      <c r="M971" s="239"/>
      <c r="N971" s="239"/>
      <c r="O971" s="239"/>
      <c r="P971" s="239"/>
      <c r="Q971" s="239"/>
      <c r="R971" s="239"/>
      <c r="S971" s="239"/>
      <c r="T971" s="239"/>
    </row>
    <row r="972" spans="1:20" s="82" customFormat="1" ht="38.25" x14ac:dyDescent="0.25">
      <c r="A972" s="24" t="s">
        <v>944</v>
      </c>
      <c r="B972" s="53">
        <v>917</v>
      </c>
      <c r="C972" s="48" t="s">
        <v>37</v>
      </c>
      <c r="D972" s="48" t="s">
        <v>28</v>
      </c>
      <c r="E972" s="48" t="s">
        <v>943</v>
      </c>
      <c r="F972" s="48"/>
      <c r="G972" s="119">
        <f>G973</f>
        <v>180785.30000000002</v>
      </c>
      <c r="H972" s="119">
        <f t="shared" ref="H972:I972" si="334">H973</f>
        <v>27182.7</v>
      </c>
      <c r="I972" s="119">
        <f t="shared" si="334"/>
        <v>0</v>
      </c>
      <c r="J972" s="184"/>
      <c r="K972" s="239"/>
      <c r="L972" s="239"/>
      <c r="M972" s="239"/>
      <c r="N972" s="239"/>
      <c r="O972" s="239"/>
      <c r="P972" s="239"/>
      <c r="Q972" s="239"/>
      <c r="R972" s="239"/>
      <c r="S972" s="239"/>
      <c r="T972" s="239"/>
    </row>
    <row r="973" spans="1:20" s="82" customFormat="1" ht="25.5" x14ac:dyDescent="0.25">
      <c r="A973" s="24" t="s">
        <v>226</v>
      </c>
      <c r="B973" s="53">
        <v>917</v>
      </c>
      <c r="C973" s="48" t="s">
        <v>37</v>
      </c>
      <c r="D973" s="48" t="s">
        <v>28</v>
      </c>
      <c r="E973" s="48" t="s">
        <v>943</v>
      </c>
      <c r="F973" s="48" t="s">
        <v>59</v>
      </c>
      <c r="G973" s="119">
        <f>186324.6-1052.8-66-107.5-4313</f>
        <v>180785.30000000002</v>
      </c>
      <c r="H973" s="119">
        <v>27182.7</v>
      </c>
      <c r="I973" s="119">
        <v>0</v>
      </c>
      <c r="J973" s="184"/>
      <c r="K973" s="239"/>
      <c r="L973" s="239"/>
      <c r="M973" s="239"/>
      <c r="N973" s="239"/>
      <c r="O973" s="239"/>
      <c r="P973" s="239"/>
      <c r="Q973" s="239"/>
      <c r="R973" s="239"/>
      <c r="S973" s="239"/>
      <c r="T973" s="239"/>
    </row>
    <row r="974" spans="1:20" s="82" customFormat="1" x14ac:dyDescent="0.25">
      <c r="A974" s="24" t="s">
        <v>334</v>
      </c>
      <c r="B974" s="53">
        <v>917</v>
      </c>
      <c r="C974" s="48" t="s">
        <v>37</v>
      </c>
      <c r="D974" s="48" t="s">
        <v>28</v>
      </c>
      <c r="E974" s="48" t="s">
        <v>945</v>
      </c>
      <c r="F974" s="48"/>
      <c r="G974" s="119">
        <f>G975</f>
        <v>507937.2</v>
      </c>
      <c r="H974" s="119">
        <f t="shared" ref="H974:I974" si="335">H975</f>
        <v>83052.800000000003</v>
      </c>
      <c r="I974" s="119">
        <f t="shared" si="335"/>
        <v>78301.899999999994</v>
      </c>
      <c r="J974" s="184"/>
      <c r="K974" s="239"/>
      <c r="L974" s="239"/>
      <c r="M974" s="239"/>
      <c r="N974" s="239"/>
      <c r="O974" s="239"/>
      <c r="P974" s="239"/>
      <c r="Q974" s="239"/>
      <c r="R974" s="239"/>
      <c r="S974" s="239"/>
      <c r="T974" s="239"/>
    </row>
    <row r="975" spans="1:20" s="82" customFormat="1" ht="25.5" x14ac:dyDescent="0.25">
      <c r="A975" s="24" t="s">
        <v>226</v>
      </c>
      <c r="B975" s="53">
        <v>917</v>
      </c>
      <c r="C975" s="48" t="s">
        <v>37</v>
      </c>
      <c r="D975" s="48" t="s">
        <v>28</v>
      </c>
      <c r="E975" s="48" t="s">
        <v>945</v>
      </c>
      <c r="F975" s="48" t="s">
        <v>59</v>
      </c>
      <c r="G975" s="119">
        <f>231417.7+83052.8+199466.7-6000</f>
        <v>507937.2</v>
      </c>
      <c r="H975" s="119">
        <v>83052.800000000003</v>
      </c>
      <c r="I975" s="119">
        <v>78301.899999999994</v>
      </c>
      <c r="J975" s="184"/>
      <c r="K975" s="239"/>
      <c r="L975" s="239"/>
      <c r="M975" s="239"/>
      <c r="N975" s="239"/>
      <c r="O975" s="239"/>
      <c r="P975" s="239"/>
      <c r="Q975" s="239"/>
      <c r="R975" s="239"/>
      <c r="S975" s="239"/>
      <c r="T975" s="239"/>
    </row>
    <row r="976" spans="1:20" s="82" customFormat="1" x14ac:dyDescent="0.25">
      <c r="A976" s="24" t="s">
        <v>94</v>
      </c>
      <c r="B976" s="53">
        <v>917</v>
      </c>
      <c r="C976" s="48" t="s">
        <v>37</v>
      </c>
      <c r="D976" s="48" t="s">
        <v>28</v>
      </c>
      <c r="E976" s="48" t="s">
        <v>120</v>
      </c>
      <c r="F976" s="48"/>
      <c r="G976" s="119">
        <f>G977</f>
        <v>5011.7</v>
      </c>
      <c r="H976" s="119">
        <f t="shared" ref="H976:I977" si="336">H977</f>
        <v>0</v>
      </c>
      <c r="I976" s="119">
        <f t="shared" si="336"/>
        <v>0</v>
      </c>
      <c r="J976" s="184"/>
      <c r="K976" s="239"/>
      <c r="L976" s="239"/>
      <c r="M976" s="239"/>
      <c r="N976" s="239"/>
      <c r="O976" s="239"/>
      <c r="P976" s="239"/>
      <c r="Q976" s="239"/>
      <c r="R976" s="239"/>
      <c r="S976" s="239"/>
      <c r="T976" s="239"/>
    </row>
    <row r="977" spans="1:20" s="82" customFormat="1" ht="63.75" x14ac:dyDescent="0.25">
      <c r="A977" s="24" t="s">
        <v>960</v>
      </c>
      <c r="B977" s="53">
        <v>917</v>
      </c>
      <c r="C977" s="48" t="s">
        <v>37</v>
      </c>
      <c r="D977" s="48" t="s">
        <v>28</v>
      </c>
      <c r="E977" s="48" t="s">
        <v>959</v>
      </c>
      <c r="F977" s="48"/>
      <c r="G977" s="119">
        <f>G978</f>
        <v>5011.7</v>
      </c>
      <c r="H977" s="119">
        <f t="shared" si="336"/>
        <v>0</v>
      </c>
      <c r="I977" s="119">
        <f t="shared" si="336"/>
        <v>0</v>
      </c>
      <c r="J977" s="184"/>
      <c r="K977" s="239"/>
      <c r="L977" s="239"/>
      <c r="M977" s="239"/>
      <c r="N977" s="239"/>
      <c r="O977" s="239"/>
      <c r="P977" s="239"/>
      <c r="Q977" s="239"/>
      <c r="R977" s="239"/>
      <c r="S977" s="239"/>
      <c r="T977" s="239"/>
    </row>
    <row r="978" spans="1:20" s="82" customFormat="1" x14ac:dyDescent="0.25">
      <c r="A978" s="24" t="s">
        <v>95</v>
      </c>
      <c r="B978" s="53">
        <v>917</v>
      </c>
      <c r="C978" s="48" t="s">
        <v>37</v>
      </c>
      <c r="D978" s="48" t="s">
        <v>28</v>
      </c>
      <c r="E978" s="48" t="s">
        <v>959</v>
      </c>
      <c r="F978" s="48" t="s">
        <v>62</v>
      </c>
      <c r="G978" s="119">
        <v>5011.7</v>
      </c>
      <c r="H978" s="119">
        <v>0</v>
      </c>
      <c r="I978" s="119">
        <v>0</v>
      </c>
      <c r="J978" s="184"/>
      <c r="K978" s="239"/>
      <c r="L978" s="239"/>
      <c r="M978" s="239"/>
      <c r="N978" s="239"/>
      <c r="O978" s="239"/>
      <c r="P978" s="239"/>
      <c r="Q978" s="239"/>
      <c r="R978" s="239"/>
      <c r="S978" s="239"/>
      <c r="T978" s="239"/>
    </row>
    <row r="979" spans="1:20" s="82" customFormat="1" ht="18" customHeight="1" x14ac:dyDescent="0.25">
      <c r="A979" s="24" t="s">
        <v>22</v>
      </c>
      <c r="B979" s="53">
        <v>917</v>
      </c>
      <c r="C979" s="48" t="s">
        <v>37</v>
      </c>
      <c r="D979" s="48" t="s">
        <v>37</v>
      </c>
      <c r="E979" s="48"/>
      <c r="F979" s="48"/>
      <c r="G979" s="119">
        <f>G986+G997+G1000+G980</f>
        <v>119757.30000000002</v>
      </c>
      <c r="H979" s="119">
        <f t="shared" ref="H979:I979" si="337">H986+H997+H1000+H980</f>
        <v>114287.60000000002</v>
      </c>
      <c r="I979" s="119">
        <f t="shared" si="337"/>
        <v>125089.60000000001</v>
      </c>
      <c r="J979" s="239"/>
      <c r="K979" s="239"/>
      <c r="L979" s="239"/>
      <c r="M979" s="239"/>
      <c r="N979" s="239"/>
      <c r="O979" s="239"/>
      <c r="P979" s="239"/>
      <c r="Q979" s="239"/>
      <c r="R979" s="239"/>
      <c r="S979" s="239"/>
      <c r="T979" s="239"/>
    </row>
    <row r="980" spans="1:20" s="82" customFormat="1" ht="25.5" x14ac:dyDescent="0.25">
      <c r="A980" s="23" t="s">
        <v>546</v>
      </c>
      <c r="B980" s="53">
        <v>917</v>
      </c>
      <c r="C980" s="48" t="s">
        <v>37</v>
      </c>
      <c r="D980" s="48" t="s">
        <v>37</v>
      </c>
      <c r="E980" s="48" t="s">
        <v>143</v>
      </c>
      <c r="F980" s="48"/>
      <c r="G980" s="119">
        <f>G981</f>
        <v>713.6</v>
      </c>
      <c r="H980" s="119">
        <f t="shared" ref="H980:I980" si="338">H981</f>
        <v>85.6</v>
      </c>
      <c r="I980" s="119">
        <f t="shared" si="338"/>
        <v>85.6</v>
      </c>
      <c r="J980" s="239"/>
      <c r="K980" s="239"/>
      <c r="L980" s="239"/>
      <c r="M980" s="239"/>
      <c r="N980" s="239"/>
      <c r="O980" s="239"/>
      <c r="P980" s="239"/>
      <c r="Q980" s="239"/>
      <c r="R980" s="239"/>
      <c r="S980" s="239"/>
      <c r="T980" s="239"/>
    </row>
    <row r="981" spans="1:20" s="82" customFormat="1" ht="38.25" x14ac:dyDescent="0.25">
      <c r="A981" s="23" t="s">
        <v>809</v>
      </c>
      <c r="B981" s="53">
        <v>917</v>
      </c>
      <c r="C981" s="48" t="s">
        <v>37</v>
      </c>
      <c r="D981" s="48" t="s">
        <v>37</v>
      </c>
      <c r="E981" s="48" t="s">
        <v>144</v>
      </c>
      <c r="F981" s="48"/>
      <c r="G981" s="119">
        <f>G982+G984</f>
        <v>713.6</v>
      </c>
      <c r="H981" s="119">
        <f t="shared" ref="H981:I981" si="339">H982+H984</f>
        <v>85.6</v>
      </c>
      <c r="I981" s="119">
        <f t="shared" si="339"/>
        <v>85.6</v>
      </c>
      <c r="J981" s="239"/>
      <c r="K981" s="239"/>
      <c r="L981" s="239"/>
      <c r="M981" s="239"/>
      <c r="N981" s="239"/>
      <c r="O981" s="239"/>
      <c r="P981" s="239"/>
      <c r="Q981" s="239"/>
      <c r="R981" s="239"/>
      <c r="S981" s="239"/>
      <c r="T981" s="239"/>
    </row>
    <row r="982" spans="1:20" s="82" customFormat="1" x14ac:dyDescent="0.25">
      <c r="A982" s="24" t="s">
        <v>344</v>
      </c>
      <c r="B982" s="53">
        <v>917</v>
      </c>
      <c r="C982" s="48" t="s">
        <v>37</v>
      </c>
      <c r="D982" s="48" t="s">
        <v>37</v>
      </c>
      <c r="E982" s="48" t="s">
        <v>345</v>
      </c>
      <c r="F982" s="48"/>
      <c r="G982" s="119">
        <f>G983</f>
        <v>137</v>
      </c>
      <c r="H982" s="119">
        <f t="shared" ref="H982:I982" si="340">H983</f>
        <v>0</v>
      </c>
      <c r="I982" s="119">
        <f t="shared" si="340"/>
        <v>0</v>
      </c>
      <c r="J982" s="239"/>
      <c r="K982" s="239"/>
      <c r="L982" s="239"/>
      <c r="M982" s="239"/>
      <c r="N982" s="239"/>
      <c r="O982" s="239"/>
      <c r="P982" s="239"/>
      <c r="Q982" s="239"/>
      <c r="R982" s="239"/>
      <c r="S982" s="239"/>
      <c r="T982" s="239"/>
    </row>
    <row r="983" spans="1:20" s="82" customFormat="1" ht="25.5" x14ac:dyDescent="0.25">
      <c r="A983" s="24" t="s">
        <v>226</v>
      </c>
      <c r="B983" s="53">
        <v>917</v>
      </c>
      <c r="C983" s="48" t="s">
        <v>37</v>
      </c>
      <c r="D983" s="48" t="s">
        <v>37</v>
      </c>
      <c r="E983" s="48" t="s">
        <v>345</v>
      </c>
      <c r="F983" s="48" t="s">
        <v>59</v>
      </c>
      <c r="G983" s="119">
        <v>137</v>
      </c>
      <c r="H983" s="119">
        <v>0</v>
      </c>
      <c r="I983" s="119">
        <v>0</v>
      </c>
      <c r="J983" s="239"/>
      <c r="K983" s="239"/>
      <c r="L983" s="239"/>
      <c r="M983" s="239"/>
      <c r="N983" s="239"/>
      <c r="O983" s="239"/>
      <c r="P983" s="239"/>
      <c r="Q983" s="239"/>
      <c r="R983" s="239"/>
      <c r="S983" s="239"/>
      <c r="T983" s="239"/>
    </row>
    <row r="984" spans="1:20" s="82" customFormat="1" ht="38.25" x14ac:dyDescent="0.25">
      <c r="A984" s="24" t="s">
        <v>710</v>
      </c>
      <c r="B984" s="53">
        <v>917</v>
      </c>
      <c r="C984" s="48" t="s">
        <v>37</v>
      </c>
      <c r="D984" s="48" t="s">
        <v>37</v>
      </c>
      <c r="E984" s="48" t="s">
        <v>709</v>
      </c>
      <c r="F984" s="48"/>
      <c r="G984" s="119">
        <f>G985</f>
        <v>576.6</v>
      </c>
      <c r="H984" s="119">
        <f t="shared" ref="H984:I984" si="341">H985</f>
        <v>85.6</v>
      </c>
      <c r="I984" s="119">
        <f t="shared" si="341"/>
        <v>85.6</v>
      </c>
      <c r="J984" s="239"/>
      <c r="K984" s="239"/>
      <c r="L984" s="239"/>
      <c r="M984" s="239"/>
      <c r="N984" s="239"/>
      <c r="O984" s="239"/>
      <c r="P984" s="239"/>
      <c r="Q984" s="239"/>
      <c r="R984" s="239"/>
      <c r="S984" s="239"/>
      <c r="T984" s="239"/>
    </row>
    <row r="985" spans="1:20" s="82" customFormat="1" ht="25.5" x14ac:dyDescent="0.25">
      <c r="A985" s="24" t="s">
        <v>226</v>
      </c>
      <c r="B985" s="53">
        <v>917</v>
      </c>
      <c r="C985" s="48" t="s">
        <v>37</v>
      </c>
      <c r="D985" s="48" t="s">
        <v>37</v>
      </c>
      <c r="E985" s="48" t="s">
        <v>709</v>
      </c>
      <c r="F985" s="48" t="s">
        <v>59</v>
      </c>
      <c r="G985" s="119">
        <f>85.6+491</f>
        <v>576.6</v>
      </c>
      <c r="H985" s="119">
        <v>85.6</v>
      </c>
      <c r="I985" s="119">
        <v>85.6</v>
      </c>
      <c r="J985" s="239">
        <v>491</v>
      </c>
      <c r="K985" s="239"/>
      <c r="L985" s="239"/>
      <c r="M985" s="239"/>
      <c r="N985" s="239"/>
      <c r="O985" s="239"/>
      <c r="P985" s="239"/>
      <c r="Q985" s="239"/>
      <c r="R985" s="239"/>
      <c r="S985" s="239"/>
      <c r="T985" s="239"/>
    </row>
    <row r="986" spans="1:20" s="82" customFormat="1" ht="25.5" x14ac:dyDescent="0.25">
      <c r="A986" s="24" t="s">
        <v>550</v>
      </c>
      <c r="B986" s="53">
        <v>917</v>
      </c>
      <c r="C986" s="48" t="s">
        <v>37</v>
      </c>
      <c r="D986" s="48" t="s">
        <v>37</v>
      </c>
      <c r="E986" s="48" t="s">
        <v>121</v>
      </c>
      <c r="F986" s="48"/>
      <c r="G986" s="119">
        <f>G987</f>
        <v>118196.6</v>
      </c>
      <c r="H986" s="119">
        <f t="shared" ref="H986:I987" si="342">H987</f>
        <v>113525.20000000001</v>
      </c>
      <c r="I986" s="119">
        <f t="shared" si="342"/>
        <v>124327.2</v>
      </c>
      <c r="J986" s="239"/>
      <c r="K986" s="239"/>
      <c r="L986" s="239"/>
      <c r="M986" s="239"/>
      <c r="N986" s="239"/>
      <c r="O986" s="239"/>
      <c r="P986" s="239"/>
      <c r="Q986" s="239"/>
      <c r="R986" s="239"/>
      <c r="S986" s="239"/>
      <c r="T986" s="239"/>
    </row>
    <row r="987" spans="1:20" s="82" customFormat="1" ht="29.25" customHeight="1" x14ac:dyDescent="0.25">
      <c r="A987" s="23" t="s">
        <v>778</v>
      </c>
      <c r="B987" s="53">
        <v>917</v>
      </c>
      <c r="C987" s="48" t="s">
        <v>37</v>
      </c>
      <c r="D987" s="48" t="s">
        <v>37</v>
      </c>
      <c r="E987" s="48" t="s">
        <v>567</v>
      </c>
      <c r="F987" s="48"/>
      <c r="G987" s="119">
        <f>G988</f>
        <v>118196.6</v>
      </c>
      <c r="H987" s="119">
        <f t="shared" si="342"/>
        <v>113525.20000000001</v>
      </c>
      <c r="I987" s="119">
        <f t="shared" si="342"/>
        <v>124327.2</v>
      </c>
      <c r="J987" s="239"/>
      <c r="K987" s="239"/>
      <c r="L987" s="239"/>
      <c r="M987" s="239"/>
      <c r="N987" s="239"/>
      <c r="O987" s="239"/>
      <c r="P987" s="239"/>
      <c r="Q987" s="239"/>
      <c r="R987" s="239"/>
      <c r="S987" s="239"/>
      <c r="T987" s="239"/>
    </row>
    <row r="988" spans="1:20" s="82" customFormat="1" ht="25.5" x14ac:dyDescent="0.25">
      <c r="A988" s="24" t="s">
        <v>840</v>
      </c>
      <c r="B988" s="53">
        <v>917</v>
      </c>
      <c r="C988" s="48" t="s">
        <v>37</v>
      </c>
      <c r="D988" s="48" t="s">
        <v>37</v>
      </c>
      <c r="E988" s="48" t="s">
        <v>568</v>
      </c>
      <c r="F988" s="48"/>
      <c r="G988" s="119">
        <f>G989+G993</f>
        <v>118196.6</v>
      </c>
      <c r="H988" s="119">
        <f t="shared" ref="H988:I988" si="343">H989+H993</f>
        <v>113525.20000000001</v>
      </c>
      <c r="I988" s="119">
        <f t="shared" si="343"/>
        <v>124327.2</v>
      </c>
      <c r="J988" s="239"/>
      <c r="K988" s="239"/>
      <c r="L988" s="239"/>
      <c r="M988" s="239"/>
      <c r="N988" s="239"/>
      <c r="O988" s="239"/>
      <c r="P988" s="239"/>
      <c r="Q988" s="239"/>
      <c r="R988" s="239"/>
      <c r="S988" s="239"/>
      <c r="T988" s="239"/>
    </row>
    <row r="989" spans="1:20" s="82" customFormat="1" x14ac:dyDescent="0.25">
      <c r="A989" s="24" t="s">
        <v>138</v>
      </c>
      <c r="B989" s="53">
        <v>917</v>
      </c>
      <c r="C989" s="48" t="s">
        <v>37</v>
      </c>
      <c r="D989" s="48" t="s">
        <v>37</v>
      </c>
      <c r="E989" s="48" t="s">
        <v>569</v>
      </c>
      <c r="F989" s="48"/>
      <c r="G989" s="119">
        <f>G990+G991+G992</f>
        <v>41417.200000000004</v>
      </c>
      <c r="H989" s="119">
        <f t="shared" ref="H989:I989" si="344">H990+H991+H992</f>
        <v>43016.4</v>
      </c>
      <c r="I989" s="119">
        <f t="shared" si="344"/>
        <v>44716.2</v>
      </c>
      <c r="J989" s="239"/>
      <c r="K989" s="239"/>
      <c r="L989" s="239"/>
      <c r="M989" s="239"/>
      <c r="N989" s="239"/>
      <c r="O989" s="239"/>
      <c r="P989" s="239"/>
      <c r="Q989" s="239"/>
      <c r="R989" s="239"/>
      <c r="S989" s="239"/>
      <c r="T989" s="239"/>
    </row>
    <row r="990" spans="1:20" s="82" customFormat="1" ht="43.5" customHeight="1" x14ac:dyDescent="0.25">
      <c r="A990" s="24" t="s">
        <v>225</v>
      </c>
      <c r="B990" s="53">
        <v>917</v>
      </c>
      <c r="C990" s="48" t="s">
        <v>37</v>
      </c>
      <c r="D990" s="48" t="s">
        <v>37</v>
      </c>
      <c r="E990" s="48" t="s">
        <v>569</v>
      </c>
      <c r="F990" s="48" t="s">
        <v>66</v>
      </c>
      <c r="G990" s="119">
        <v>40819.800000000003</v>
      </c>
      <c r="H990" s="119">
        <v>42453.4</v>
      </c>
      <c r="I990" s="119">
        <v>44153.2</v>
      </c>
      <c r="J990" s="239"/>
      <c r="K990" s="239"/>
      <c r="L990" s="239"/>
      <c r="M990" s="239"/>
      <c r="N990" s="239"/>
      <c r="O990" s="239"/>
      <c r="P990" s="239"/>
      <c r="Q990" s="239"/>
      <c r="R990" s="239"/>
      <c r="S990" s="239"/>
      <c r="T990" s="239"/>
    </row>
    <row r="991" spans="1:20" s="82" customFormat="1" ht="27.75" customHeight="1" x14ac:dyDescent="0.25">
      <c r="A991" s="24" t="s">
        <v>226</v>
      </c>
      <c r="B991" s="53">
        <v>917</v>
      </c>
      <c r="C991" s="48" t="s">
        <v>37</v>
      </c>
      <c r="D991" s="48" t="s">
        <v>37</v>
      </c>
      <c r="E991" s="48" t="s">
        <v>569</v>
      </c>
      <c r="F991" s="48" t="s">
        <v>59</v>
      </c>
      <c r="G991" s="119">
        <v>591.4</v>
      </c>
      <c r="H991" s="119">
        <v>557</v>
      </c>
      <c r="I991" s="119">
        <v>557</v>
      </c>
      <c r="J991" s="184"/>
      <c r="K991" s="239"/>
      <c r="L991" s="239"/>
      <c r="M991" s="239"/>
      <c r="N991" s="239"/>
      <c r="O991" s="239"/>
      <c r="P991" s="239"/>
      <c r="Q991" s="239"/>
      <c r="R991" s="239"/>
      <c r="S991" s="239"/>
      <c r="T991" s="239"/>
    </row>
    <row r="992" spans="1:20" s="82" customFormat="1" x14ac:dyDescent="0.25">
      <c r="A992" s="24" t="s">
        <v>95</v>
      </c>
      <c r="B992" s="53">
        <v>917</v>
      </c>
      <c r="C992" s="48" t="s">
        <v>37</v>
      </c>
      <c r="D992" s="48" t="s">
        <v>37</v>
      </c>
      <c r="E992" s="48" t="s">
        <v>569</v>
      </c>
      <c r="F992" s="48" t="s">
        <v>62</v>
      </c>
      <c r="G992" s="119">
        <v>6</v>
      </c>
      <c r="H992" s="119">
        <v>6</v>
      </c>
      <c r="I992" s="119">
        <v>6</v>
      </c>
      <c r="J992" s="239"/>
      <c r="K992" s="239"/>
      <c r="L992" s="239"/>
      <c r="M992" s="239"/>
      <c r="N992" s="239"/>
      <c r="O992" s="239"/>
      <c r="P992" s="239"/>
      <c r="Q992" s="239"/>
      <c r="R992" s="239"/>
      <c r="S992" s="239"/>
      <c r="T992" s="239"/>
    </row>
    <row r="993" spans="1:20" s="82" customFormat="1" x14ac:dyDescent="0.25">
      <c r="A993" s="23" t="s">
        <v>240</v>
      </c>
      <c r="B993" s="53">
        <v>917</v>
      </c>
      <c r="C993" s="48" t="s">
        <v>37</v>
      </c>
      <c r="D993" s="48" t="s">
        <v>37</v>
      </c>
      <c r="E993" s="48" t="s">
        <v>570</v>
      </c>
      <c r="F993" s="48"/>
      <c r="G993" s="119">
        <f>G994+G995+G996</f>
        <v>76779.399999999994</v>
      </c>
      <c r="H993" s="119">
        <f t="shared" ref="H993:I993" si="345">H994+H995+H996</f>
        <v>70508.800000000003</v>
      </c>
      <c r="I993" s="119">
        <f t="shared" si="345"/>
        <v>79611</v>
      </c>
      <c r="J993" s="239"/>
      <c r="K993" s="239"/>
      <c r="L993" s="239"/>
      <c r="M993" s="239"/>
      <c r="N993" s="239"/>
      <c r="O993" s="239"/>
      <c r="P993" s="239"/>
      <c r="Q993" s="239"/>
      <c r="R993" s="239"/>
      <c r="S993" s="239"/>
      <c r="T993" s="239"/>
    </row>
    <row r="994" spans="1:20" s="82" customFormat="1" ht="45" customHeight="1" x14ac:dyDescent="0.25">
      <c r="A994" s="24" t="s">
        <v>225</v>
      </c>
      <c r="B994" s="53">
        <v>917</v>
      </c>
      <c r="C994" s="48" t="s">
        <v>37</v>
      </c>
      <c r="D994" s="48" t="s">
        <v>37</v>
      </c>
      <c r="E994" s="48" t="s">
        <v>570</v>
      </c>
      <c r="F994" s="48" t="s">
        <v>66</v>
      </c>
      <c r="G994" s="119">
        <f>49670.1-1200</f>
        <v>48470.1</v>
      </c>
      <c r="H994" s="119">
        <f>12279.4+30000</f>
        <v>42279.4</v>
      </c>
      <c r="I994" s="119">
        <f>51830.7-7830.2</f>
        <v>44000.5</v>
      </c>
      <c r="J994" s="190"/>
      <c r="K994" s="185"/>
      <c r="L994" s="239"/>
      <c r="M994" s="239"/>
      <c r="N994" s="239"/>
      <c r="O994" s="239"/>
      <c r="P994" s="239"/>
      <c r="Q994" s="239"/>
      <c r="R994" s="239"/>
      <c r="S994" s="239"/>
      <c r="T994" s="239"/>
    </row>
    <row r="995" spans="1:20" s="82" customFormat="1" ht="31.5" customHeight="1" x14ac:dyDescent="0.25">
      <c r="A995" s="24" t="s">
        <v>226</v>
      </c>
      <c r="B995" s="53">
        <v>917</v>
      </c>
      <c r="C995" s="48" t="s">
        <v>37</v>
      </c>
      <c r="D995" s="48" t="s">
        <v>37</v>
      </c>
      <c r="E995" s="48" t="s">
        <v>570</v>
      </c>
      <c r="F995" s="48" t="s">
        <v>59</v>
      </c>
      <c r="G995" s="119">
        <v>4062.3</v>
      </c>
      <c r="H995" s="119">
        <v>4096.3999999999996</v>
      </c>
      <c r="I995" s="119">
        <v>6192.1</v>
      </c>
      <c r="J995" s="184"/>
      <c r="K995" s="239"/>
      <c r="L995" s="239"/>
      <c r="M995" s="239"/>
      <c r="N995" s="239"/>
      <c r="O995" s="239"/>
      <c r="P995" s="239"/>
      <c r="Q995" s="239"/>
      <c r="R995" s="239"/>
      <c r="S995" s="239"/>
      <c r="T995" s="239"/>
    </row>
    <row r="996" spans="1:20" s="82" customFormat="1" x14ac:dyDescent="0.25">
      <c r="A996" s="24" t="s">
        <v>95</v>
      </c>
      <c r="B996" s="53">
        <v>917</v>
      </c>
      <c r="C996" s="48" t="s">
        <v>37</v>
      </c>
      <c r="D996" s="48" t="s">
        <v>37</v>
      </c>
      <c r="E996" s="48" t="s">
        <v>570</v>
      </c>
      <c r="F996" s="48" t="s">
        <v>62</v>
      </c>
      <c r="G996" s="119">
        <f>24133+66+48</f>
        <v>24247</v>
      </c>
      <c r="H996" s="119">
        <f>4133+20000</f>
        <v>24133</v>
      </c>
      <c r="I996" s="119">
        <v>29418.400000000001</v>
      </c>
      <c r="J996" s="184"/>
      <c r="K996" s="239"/>
      <c r="L996" s="239"/>
      <c r="M996" s="239"/>
      <c r="N996" s="239"/>
      <c r="O996" s="239"/>
      <c r="P996" s="239"/>
      <c r="Q996" s="239"/>
      <c r="R996" s="239"/>
      <c r="S996" s="239"/>
      <c r="T996" s="239"/>
    </row>
    <row r="997" spans="1:20" s="82" customFormat="1" ht="25.5" x14ac:dyDescent="0.25">
      <c r="A997" s="28" t="s">
        <v>82</v>
      </c>
      <c r="B997" s="53">
        <v>917</v>
      </c>
      <c r="C997" s="48" t="s">
        <v>37</v>
      </c>
      <c r="D997" s="48" t="s">
        <v>37</v>
      </c>
      <c r="E997" s="48" t="s">
        <v>105</v>
      </c>
      <c r="F997" s="48"/>
      <c r="G997" s="119">
        <f>G998</f>
        <v>747</v>
      </c>
      <c r="H997" s="119">
        <f t="shared" ref="H997:I998" si="346">H998</f>
        <v>576.70000000000005</v>
      </c>
      <c r="I997" s="119">
        <f t="shared" si="346"/>
        <v>576.70000000000005</v>
      </c>
      <c r="J997" s="184"/>
      <c r="K997" s="239"/>
      <c r="L997" s="239"/>
      <c r="M997" s="239"/>
      <c r="N997" s="239"/>
      <c r="O997" s="239"/>
      <c r="P997" s="239"/>
      <c r="Q997" s="239"/>
      <c r="R997" s="239"/>
      <c r="S997" s="239"/>
      <c r="T997" s="239"/>
    </row>
    <row r="998" spans="1:20" s="82" customFormat="1" ht="25.5" x14ac:dyDescent="0.25">
      <c r="A998" s="24" t="s">
        <v>719</v>
      </c>
      <c r="B998" s="53">
        <v>917</v>
      </c>
      <c r="C998" s="48" t="s">
        <v>37</v>
      </c>
      <c r="D998" s="48" t="s">
        <v>37</v>
      </c>
      <c r="E998" s="48" t="s">
        <v>708</v>
      </c>
      <c r="F998" s="48"/>
      <c r="G998" s="119">
        <f>G999</f>
        <v>747</v>
      </c>
      <c r="H998" s="119">
        <f t="shared" si="346"/>
        <v>576.70000000000005</v>
      </c>
      <c r="I998" s="119">
        <f t="shared" si="346"/>
        <v>576.70000000000005</v>
      </c>
      <c r="J998" s="184"/>
      <c r="K998" s="239"/>
      <c r="L998" s="239"/>
      <c r="M998" s="239"/>
      <c r="N998" s="239"/>
      <c r="O998" s="239"/>
      <c r="P998" s="239"/>
      <c r="Q998" s="239"/>
      <c r="R998" s="239"/>
      <c r="S998" s="239"/>
      <c r="T998" s="239"/>
    </row>
    <row r="999" spans="1:20" s="82" customFormat="1" ht="25.5" x14ac:dyDescent="0.25">
      <c r="A999" s="24" t="s">
        <v>226</v>
      </c>
      <c r="B999" s="53">
        <v>917</v>
      </c>
      <c r="C999" s="48" t="s">
        <v>37</v>
      </c>
      <c r="D999" s="48" t="s">
        <v>37</v>
      </c>
      <c r="E999" s="48" t="s">
        <v>708</v>
      </c>
      <c r="F999" s="48" t="s">
        <v>59</v>
      </c>
      <c r="G999" s="119">
        <v>747</v>
      </c>
      <c r="H999" s="119">
        <v>576.70000000000005</v>
      </c>
      <c r="I999" s="119">
        <v>576.70000000000005</v>
      </c>
      <c r="J999" s="184"/>
      <c r="K999" s="239"/>
      <c r="L999" s="239"/>
      <c r="M999" s="239"/>
      <c r="N999" s="239"/>
      <c r="O999" s="239"/>
      <c r="P999" s="239"/>
      <c r="Q999" s="239"/>
      <c r="R999" s="239"/>
      <c r="S999" s="239"/>
      <c r="T999" s="239"/>
    </row>
    <row r="1000" spans="1:20" s="82" customFormat="1" x14ac:dyDescent="0.25">
      <c r="A1000" s="24" t="s">
        <v>94</v>
      </c>
      <c r="B1000" s="53">
        <v>917</v>
      </c>
      <c r="C1000" s="48" t="s">
        <v>37</v>
      </c>
      <c r="D1000" s="48" t="s">
        <v>37</v>
      </c>
      <c r="E1000" s="48" t="s">
        <v>120</v>
      </c>
      <c r="F1000" s="48"/>
      <c r="G1000" s="119">
        <f>G1001</f>
        <v>100.1</v>
      </c>
      <c r="H1000" s="119">
        <f t="shared" ref="H1000:I1001" si="347">H1001</f>
        <v>100.1</v>
      </c>
      <c r="I1000" s="119">
        <f t="shared" si="347"/>
        <v>100.1</v>
      </c>
      <c r="J1000" s="184"/>
      <c r="K1000" s="239"/>
      <c r="L1000" s="239"/>
      <c r="M1000" s="239"/>
      <c r="N1000" s="239"/>
      <c r="O1000" s="239"/>
      <c r="P1000" s="239"/>
      <c r="Q1000" s="239"/>
      <c r="R1000" s="239"/>
      <c r="S1000" s="239"/>
      <c r="T1000" s="239"/>
    </row>
    <row r="1001" spans="1:20" s="82" customFormat="1" x14ac:dyDescent="0.25">
      <c r="A1001" s="24" t="s">
        <v>379</v>
      </c>
      <c r="B1001" s="53">
        <v>917</v>
      </c>
      <c r="C1001" s="48" t="s">
        <v>37</v>
      </c>
      <c r="D1001" s="48" t="s">
        <v>37</v>
      </c>
      <c r="E1001" s="48" t="s">
        <v>380</v>
      </c>
      <c r="F1001" s="48"/>
      <c r="G1001" s="119">
        <f>G1002</f>
        <v>100.1</v>
      </c>
      <c r="H1001" s="119">
        <f t="shared" si="347"/>
        <v>100.1</v>
      </c>
      <c r="I1001" s="119">
        <f t="shared" si="347"/>
        <v>100.1</v>
      </c>
      <c r="J1001" s="184"/>
      <c r="K1001" s="239"/>
      <c r="L1001" s="239"/>
      <c r="M1001" s="239"/>
      <c r="N1001" s="239"/>
      <c r="O1001" s="239"/>
      <c r="P1001" s="239"/>
      <c r="Q1001" s="239"/>
      <c r="R1001" s="239"/>
      <c r="S1001" s="239"/>
      <c r="T1001" s="239"/>
    </row>
    <row r="1002" spans="1:20" s="82" customFormat="1" ht="25.5" x14ac:dyDescent="0.25">
      <c r="A1002" s="24" t="s">
        <v>226</v>
      </c>
      <c r="B1002" s="53">
        <v>917</v>
      </c>
      <c r="C1002" s="48" t="s">
        <v>37</v>
      </c>
      <c r="D1002" s="48" t="s">
        <v>37</v>
      </c>
      <c r="E1002" s="48" t="s">
        <v>380</v>
      </c>
      <c r="F1002" s="48" t="s">
        <v>59</v>
      </c>
      <c r="G1002" s="119">
        <v>100.1</v>
      </c>
      <c r="H1002" s="119">
        <v>100.1</v>
      </c>
      <c r="I1002" s="119">
        <v>100.1</v>
      </c>
      <c r="J1002" s="184"/>
      <c r="K1002" s="239"/>
      <c r="L1002" s="239"/>
      <c r="M1002" s="239"/>
      <c r="N1002" s="239"/>
      <c r="O1002" s="239"/>
      <c r="P1002" s="239"/>
      <c r="Q1002" s="239"/>
      <c r="R1002" s="239"/>
      <c r="S1002" s="239"/>
      <c r="T1002" s="239"/>
    </row>
    <row r="1003" spans="1:20" s="82" customFormat="1" ht="35.25" customHeight="1" x14ac:dyDescent="0.25">
      <c r="A1003" s="86" t="s">
        <v>215</v>
      </c>
      <c r="B1003" s="44">
        <v>918</v>
      </c>
      <c r="C1003" s="86"/>
      <c r="D1003" s="86"/>
      <c r="E1003" s="86"/>
      <c r="F1003" s="86"/>
      <c r="G1003" s="116">
        <f t="shared" ref="G1003:I1004" si="348">G1004</f>
        <v>22881.800000000003</v>
      </c>
      <c r="H1003" s="116">
        <f t="shared" si="348"/>
        <v>23687</v>
      </c>
      <c r="I1003" s="116">
        <f t="shared" si="348"/>
        <v>24524.7</v>
      </c>
      <c r="J1003" s="179"/>
      <c r="K1003" s="179"/>
      <c r="L1003" s="179"/>
      <c r="M1003" s="239"/>
      <c r="N1003" s="239"/>
      <c r="O1003" s="239"/>
      <c r="P1003" s="239"/>
      <c r="Q1003" s="239"/>
      <c r="R1003" s="239"/>
      <c r="S1003" s="239"/>
      <c r="T1003" s="239"/>
    </row>
    <row r="1004" spans="1:20" s="82" customFormat="1" x14ac:dyDescent="0.25">
      <c r="A1004" s="24" t="s">
        <v>98</v>
      </c>
      <c r="B1004" s="53">
        <v>918</v>
      </c>
      <c r="C1004" s="48" t="s">
        <v>26</v>
      </c>
      <c r="D1004" s="48"/>
      <c r="E1004" s="48"/>
      <c r="F1004" s="48"/>
      <c r="G1004" s="119">
        <f t="shared" si="348"/>
        <v>22881.800000000003</v>
      </c>
      <c r="H1004" s="119">
        <f t="shared" si="348"/>
        <v>23687</v>
      </c>
      <c r="I1004" s="119">
        <f t="shared" si="348"/>
        <v>24524.7</v>
      </c>
      <c r="J1004" s="180"/>
      <c r="K1004" s="180"/>
      <c r="L1004" s="180"/>
      <c r="M1004" s="140"/>
      <c r="N1004" s="239"/>
      <c r="O1004" s="239"/>
      <c r="P1004" s="239"/>
      <c r="Q1004" s="239"/>
      <c r="R1004" s="239"/>
      <c r="S1004" s="239"/>
      <c r="T1004" s="239"/>
    </row>
    <row r="1005" spans="1:20" s="82" customFormat="1" ht="38.25" x14ac:dyDescent="0.25">
      <c r="A1005" s="24" t="s">
        <v>47</v>
      </c>
      <c r="B1005" s="53">
        <v>918</v>
      </c>
      <c r="C1005" s="48" t="s">
        <v>26</v>
      </c>
      <c r="D1005" s="48" t="s">
        <v>28</v>
      </c>
      <c r="E1005" s="48"/>
      <c r="F1005" s="48"/>
      <c r="G1005" s="119">
        <f>G1006+G1018</f>
        <v>22881.800000000003</v>
      </c>
      <c r="H1005" s="119">
        <f t="shared" ref="H1005:I1005" si="349">H1006+H1018</f>
        <v>23687</v>
      </c>
      <c r="I1005" s="119">
        <f t="shared" si="349"/>
        <v>24524.7</v>
      </c>
      <c r="J1005" s="239"/>
      <c r="K1005" s="239"/>
      <c r="L1005" s="239"/>
      <c r="M1005" s="239"/>
      <c r="N1005" s="239"/>
      <c r="O1005" s="239"/>
      <c r="P1005" s="239"/>
      <c r="Q1005" s="239"/>
      <c r="R1005" s="239"/>
      <c r="S1005" s="239"/>
      <c r="T1005" s="239"/>
    </row>
    <row r="1006" spans="1:20" s="82" customFormat="1" ht="25.5" x14ac:dyDescent="0.25">
      <c r="A1006" s="24" t="s">
        <v>224</v>
      </c>
      <c r="B1006" s="53">
        <v>918</v>
      </c>
      <c r="C1006" s="48" t="s">
        <v>26</v>
      </c>
      <c r="D1006" s="48" t="s">
        <v>28</v>
      </c>
      <c r="E1006" s="48" t="s">
        <v>152</v>
      </c>
      <c r="F1006" s="48"/>
      <c r="G1006" s="119">
        <f>G1007+G1010+G1013</f>
        <v>22839.800000000003</v>
      </c>
      <c r="H1006" s="119">
        <f>H1007+H1010+H1013</f>
        <v>23645</v>
      </c>
      <c r="I1006" s="119">
        <f>I1007+I1010+I1013</f>
        <v>24482.7</v>
      </c>
      <c r="J1006" s="239"/>
      <c r="K1006" s="239"/>
      <c r="L1006" s="239"/>
      <c r="M1006" s="239"/>
      <c r="N1006" s="239"/>
      <c r="O1006" s="239"/>
      <c r="P1006" s="239"/>
      <c r="Q1006" s="239"/>
      <c r="R1006" s="239"/>
      <c r="S1006" s="239"/>
      <c r="T1006" s="239"/>
    </row>
    <row r="1007" spans="1:20" s="82" customFormat="1" ht="27.75" customHeight="1" x14ac:dyDescent="0.25">
      <c r="A1007" s="24" t="s">
        <v>221</v>
      </c>
      <c r="B1007" s="53">
        <v>918</v>
      </c>
      <c r="C1007" s="48" t="s">
        <v>26</v>
      </c>
      <c r="D1007" s="48" t="s">
        <v>28</v>
      </c>
      <c r="E1007" s="48" t="s">
        <v>151</v>
      </c>
      <c r="F1007" s="48"/>
      <c r="G1007" s="119">
        <f t="shared" ref="G1007:I1008" si="350">G1008</f>
        <v>3027.5</v>
      </c>
      <c r="H1007" s="119">
        <f t="shared" si="350"/>
        <v>3072.1</v>
      </c>
      <c r="I1007" s="119">
        <f t="shared" si="350"/>
        <v>3195</v>
      </c>
      <c r="J1007" s="239"/>
      <c r="K1007" s="239"/>
      <c r="L1007" s="239"/>
      <c r="M1007" s="239"/>
      <c r="N1007" s="239"/>
      <c r="O1007" s="239"/>
      <c r="P1007" s="239"/>
      <c r="Q1007" s="239"/>
      <c r="R1007" s="239"/>
      <c r="S1007" s="239"/>
      <c r="T1007" s="239"/>
    </row>
    <row r="1008" spans="1:20" s="82" customFormat="1" x14ac:dyDescent="0.25">
      <c r="A1008" s="23" t="s">
        <v>138</v>
      </c>
      <c r="B1008" s="53">
        <v>918</v>
      </c>
      <c r="C1008" s="48" t="s">
        <v>26</v>
      </c>
      <c r="D1008" s="48" t="s">
        <v>28</v>
      </c>
      <c r="E1008" s="48" t="s">
        <v>153</v>
      </c>
      <c r="F1008" s="48"/>
      <c r="G1008" s="119">
        <f t="shared" si="350"/>
        <v>3027.5</v>
      </c>
      <c r="H1008" s="119">
        <f t="shared" si="350"/>
        <v>3072.1</v>
      </c>
      <c r="I1008" s="119">
        <f t="shared" si="350"/>
        <v>3195</v>
      </c>
      <c r="J1008" s="239"/>
      <c r="K1008" s="239"/>
      <c r="L1008" s="239"/>
      <c r="M1008" s="239"/>
      <c r="N1008" s="239"/>
      <c r="O1008" s="239"/>
      <c r="P1008" s="239"/>
      <c r="Q1008" s="239"/>
      <c r="R1008" s="239"/>
      <c r="S1008" s="239"/>
      <c r="T1008" s="239"/>
    </row>
    <row r="1009" spans="1:20" s="82" customFormat="1" ht="38.25" x14ac:dyDescent="0.25">
      <c r="A1009" s="24" t="s">
        <v>225</v>
      </c>
      <c r="B1009" s="53">
        <v>918</v>
      </c>
      <c r="C1009" s="48" t="s">
        <v>26</v>
      </c>
      <c r="D1009" s="48" t="s">
        <v>28</v>
      </c>
      <c r="E1009" s="48" t="s">
        <v>153</v>
      </c>
      <c r="F1009" s="48" t="s">
        <v>66</v>
      </c>
      <c r="G1009" s="119">
        <f>2954+73.5</f>
        <v>3027.5</v>
      </c>
      <c r="H1009" s="119">
        <v>3072.1</v>
      </c>
      <c r="I1009" s="119">
        <v>3195</v>
      </c>
      <c r="J1009" s="239"/>
      <c r="K1009" s="239"/>
      <c r="L1009" s="239"/>
      <c r="M1009" s="239"/>
      <c r="N1009" s="239"/>
      <c r="O1009" s="239"/>
      <c r="P1009" s="239"/>
      <c r="Q1009" s="239"/>
      <c r="R1009" s="239"/>
      <c r="S1009" s="239"/>
      <c r="T1009" s="239"/>
    </row>
    <row r="1010" spans="1:20" s="82" customFormat="1" ht="25.5" x14ac:dyDescent="0.25">
      <c r="A1010" s="23" t="s">
        <v>222</v>
      </c>
      <c r="B1010" s="53">
        <v>918</v>
      </c>
      <c r="C1010" s="48" t="s">
        <v>26</v>
      </c>
      <c r="D1010" s="48" t="s">
        <v>28</v>
      </c>
      <c r="E1010" s="48" t="s">
        <v>154</v>
      </c>
      <c r="F1010" s="48"/>
      <c r="G1010" s="119">
        <f t="shared" ref="G1010:I1011" si="351">G1011</f>
        <v>2762</v>
      </c>
      <c r="H1010" s="119">
        <f t="shared" si="351"/>
        <v>2852.4</v>
      </c>
      <c r="I1010" s="119">
        <f t="shared" si="351"/>
        <v>2946.5</v>
      </c>
      <c r="J1010" s="239"/>
      <c r="K1010" s="239"/>
      <c r="L1010" s="239"/>
      <c r="M1010" s="239"/>
      <c r="N1010" s="239"/>
      <c r="O1010" s="239"/>
      <c r="P1010" s="239"/>
      <c r="Q1010" s="239"/>
      <c r="R1010" s="239"/>
      <c r="S1010" s="239"/>
      <c r="T1010" s="239"/>
    </row>
    <row r="1011" spans="1:20" s="82" customFormat="1" x14ac:dyDescent="0.25">
      <c r="A1011" s="23" t="s">
        <v>138</v>
      </c>
      <c r="B1011" s="53">
        <v>918</v>
      </c>
      <c r="C1011" s="48" t="s">
        <v>26</v>
      </c>
      <c r="D1011" s="48" t="s">
        <v>28</v>
      </c>
      <c r="E1011" s="48" t="s">
        <v>155</v>
      </c>
      <c r="F1011" s="48"/>
      <c r="G1011" s="119">
        <f t="shared" si="351"/>
        <v>2762</v>
      </c>
      <c r="H1011" s="119">
        <f t="shared" si="351"/>
        <v>2852.4</v>
      </c>
      <c r="I1011" s="119">
        <f t="shared" si="351"/>
        <v>2946.5</v>
      </c>
      <c r="J1011" s="239"/>
      <c r="K1011" s="239"/>
      <c r="L1011" s="239"/>
      <c r="M1011" s="239"/>
      <c r="N1011" s="239"/>
      <c r="O1011" s="239"/>
      <c r="P1011" s="239"/>
      <c r="Q1011" s="239"/>
      <c r="R1011" s="239"/>
      <c r="S1011" s="239"/>
      <c r="T1011" s="239"/>
    </row>
    <row r="1012" spans="1:20" s="82" customFormat="1" ht="42" customHeight="1" x14ac:dyDescent="0.25">
      <c r="A1012" s="24" t="s">
        <v>225</v>
      </c>
      <c r="B1012" s="53">
        <v>918</v>
      </c>
      <c r="C1012" s="48" t="s">
        <v>26</v>
      </c>
      <c r="D1012" s="48" t="s">
        <v>28</v>
      </c>
      <c r="E1012" s="48" t="s">
        <v>155</v>
      </c>
      <c r="F1012" s="48" t="s">
        <v>66</v>
      </c>
      <c r="G1012" s="119">
        <v>2762</v>
      </c>
      <c r="H1012" s="119">
        <v>2852.4</v>
      </c>
      <c r="I1012" s="119">
        <v>2946.5</v>
      </c>
      <c r="J1012" s="239"/>
      <c r="K1012" s="239"/>
      <c r="L1012" s="239"/>
      <c r="M1012" s="239"/>
      <c r="N1012" s="239"/>
      <c r="O1012" s="239"/>
      <c r="P1012" s="239"/>
      <c r="Q1012" s="239"/>
      <c r="R1012" s="239"/>
      <c r="S1012" s="239"/>
      <c r="T1012" s="239"/>
    </row>
    <row r="1013" spans="1:20" s="82" customFormat="1" ht="25.5" x14ac:dyDescent="0.25">
      <c r="A1013" s="24" t="s">
        <v>223</v>
      </c>
      <c r="B1013" s="53">
        <v>918</v>
      </c>
      <c r="C1013" s="48" t="s">
        <v>26</v>
      </c>
      <c r="D1013" s="48" t="s">
        <v>28</v>
      </c>
      <c r="E1013" s="48" t="s">
        <v>156</v>
      </c>
      <c r="F1013" s="48"/>
      <c r="G1013" s="119">
        <f>G1014</f>
        <v>17050.300000000003</v>
      </c>
      <c r="H1013" s="119">
        <f>H1014</f>
        <v>17720.5</v>
      </c>
      <c r="I1013" s="119">
        <f>I1014</f>
        <v>18341.2</v>
      </c>
      <c r="J1013" s="239"/>
      <c r="K1013" s="239"/>
      <c r="L1013" s="239"/>
      <c r="M1013" s="239"/>
      <c r="N1013" s="239"/>
      <c r="O1013" s="239"/>
      <c r="P1013" s="239"/>
      <c r="Q1013" s="239"/>
      <c r="R1013" s="239"/>
      <c r="S1013" s="239"/>
      <c r="T1013" s="239"/>
    </row>
    <row r="1014" spans="1:20" s="82" customFormat="1" x14ac:dyDescent="0.25">
      <c r="A1014" s="24" t="s">
        <v>138</v>
      </c>
      <c r="B1014" s="53">
        <v>918</v>
      </c>
      <c r="C1014" s="48" t="s">
        <v>26</v>
      </c>
      <c r="D1014" s="48" t="s">
        <v>28</v>
      </c>
      <c r="E1014" s="48" t="s">
        <v>157</v>
      </c>
      <c r="F1014" s="48"/>
      <c r="G1014" s="119">
        <f>G1015+G1016+G1017</f>
        <v>17050.300000000003</v>
      </c>
      <c r="H1014" s="119">
        <f>H1015+H1016+H1017</f>
        <v>17720.5</v>
      </c>
      <c r="I1014" s="119">
        <f>I1015+I1016+I1017</f>
        <v>18341.2</v>
      </c>
      <c r="J1014" s="239"/>
      <c r="K1014" s="239"/>
      <c r="L1014" s="239"/>
      <c r="M1014" s="239"/>
      <c r="N1014" s="239"/>
      <c r="O1014" s="239"/>
      <c r="P1014" s="239"/>
      <c r="Q1014" s="239"/>
      <c r="R1014" s="239"/>
      <c r="S1014" s="239"/>
      <c r="T1014" s="239"/>
    </row>
    <row r="1015" spans="1:20" s="82" customFormat="1" ht="38.25" x14ac:dyDescent="0.25">
      <c r="A1015" s="24" t="s">
        <v>225</v>
      </c>
      <c r="B1015" s="53">
        <v>918</v>
      </c>
      <c r="C1015" s="48" t="s">
        <v>26</v>
      </c>
      <c r="D1015" s="48" t="s">
        <v>28</v>
      </c>
      <c r="E1015" s="48" t="s">
        <v>157</v>
      </c>
      <c r="F1015" s="48" t="s">
        <v>66</v>
      </c>
      <c r="G1015" s="119">
        <f>14906.6-73.5</f>
        <v>14833.1</v>
      </c>
      <c r="H1015" s="119">
        <v>15503.3</v>
      </c>
      <c r="I1015" s="119">
        <v>16124</v>
      </c>
      <c r="J1015" s="239"/>
      <c r="K1015" s="239"/>
      <c r="L1015" s="239"/>
      <c r="M1015" s="239"/>
      <c r="N1015" s="239"/>
      <c r="O1015" s="239"/>
      <c r="P1015" s="239"/>
      <c r="Q1015" s="239"/>
      <c r="R1015" s="239"/>
      <c r="S1015" s="239"/>
      <c r="T1015" s="239"/>
    </row>
    <row r="1016" spans="1:20" s="82" customFormat="1" ht="25.5" x14ac:dyDescent="0.25">
      <c r="A1016" s="24" t="s">
        <v>226</v>
      </c>
      <c r="B1016" s="53">
        <v>918</v>
      </c>
      <c r="C1016" s="48" t="s">
        <v>26</v>
      </c>
      <c r="D1016" s="48" t="s">
        <v>28</v>
      </c>
      <c r="E1016" s="48" t="s">
        <v>157</v>
      </c>
      <c r="F1016" s="48" t="s">
        <v>59</v>
      </c>
      <c r="G1016" s="119">
        <v>2188.8000000000002</v>
      </c>
      <c r="H1016" s="119">
        <v>2188.8000000000002</v>
      </c>
      <c r="I1016" s="119">
        <v>2188.8000000000002</v>
      </c>
      <c r="J1016" s="239"/>
      <c r="K1016" s="239"/>
      <c r="L1016" s="239"/>
      <c r="M1016" s="239"/>
      <c r="N1016" s="239"/>
      <c r="O1016" s="239"/>
      <c r="P1016" s="239"/>
      <c r="Q1016" s="239"/>
      <c r="R1016" s="239"/>
      <c r="S1016" s="239"/>
      <c r="T1016" s="239"/>
    </row>
    <row r="1017" spans="1:20" s="82" customFormat="1" x14ac:dyDescent="0.25">
      <c r="A1017" s="24" t="s">
        <v>95</v>
      </c>
      <c r="B1017" s="53">
        <v>918</v>
      </c>
      <c r="C1017" s="48" t="s">
        <v>26</v>
      </c>
      <c r="D1017" s="48" t="s">
        <v>28</v>
      </c>
      <c r="E1017" s="48" t="s">
        <v>157</v>
      </c>
      <c r="F1017" s="48" t="s">
        <v>62</v>
      </c>
      <c r="G1017" s="119">
        <v>28.4</v>
      </c>
      <c r="H1017" s="119">
        <v>28.4</v>
      </c>
      <c r="I1017" s="119">
        <v>28.4</v>
      </c>
      <c r="J1017" s="239"/>
      <c r="K1017" s="239"/>
      <c r="L1017" s="239"/>
      <c r="M1017" s="239"/>
      <c r="N1017" s="239"/>
      <c r="O1017" s="239"/>
      <c r="P1017" s="239"/>
      <c r="Q1017" s="239"/>
      <c r="R1017" s="239"/>
      <c r="S1017" s="239"/>
      <c r="T1017" s="239"/>
    </row>
    <row r="1018" spans="1:20" s="82" customFormat="1" x14ac:dyDescent="0.25">
      <c r="A1018" s="24" t="s">
        <v>94</v>
      </c>
      <c r="B1018" s="53">
        <v>918</v>
      </c>
      <c r="C1018" s="48" t="s">
        <v>26</v>
      </c>
      <c r="D1018" s="48" t="s">
        <v>28</v>
      </c>
      <c r="E1018" s="48" t="s">
        <v>120</v>
      </c>
      <c r="F1018" s="48"/>
      <c r="G1018" s="119">
        <f>G1019</f>
        <v>42</v>
      </c>
      <c r="H1018" s="119">
        <f t="shared" ref="H1018:I1019" si="352">H1019</f>
        <v>42</v>
      </c>
      <c r="I1018" s="119">
        <f t="shared" si="352"/>
        <v>42</v>
      </c>
      <c r="J1018" s="239"/>
      <c r="K1018" s="239"/>
      <c r="L1018" s="239"/>
      <c r="M1018" s="239"/>
      <c r="N1018" s="239"/>
      <c r="O1018" s="239"/>
      <c r="P1018" s="239"/>
      <c r="Q1018" s="239"/>
      <c r="R1018" s="239"/>
      <c r="S1018" s="239"/>
      <c r="T1018" s="239"/>
    </row>
    <row r="1019" spans="1:20" s="82" customFormat="1" x14ac:dyDescent="0.25">
      <c r="A1019" s="24" t="s">
        <v>379</v>
      </c>
      <c r="B1019" s="53">
        <v>918</v>
      </c>
      <c r="C1019" s="48" t="s">
        <v>26</v>
      </c>
      <c r="D1019" s="48" t="s">
        <v>28</v>
      </c>
      <c r="E1019" s="48" t="s">
        <v>380</v>
      </c>
      <c r="F1019" s="48"/>
      <c r="G1019" s="119">
        <f>G1020</f>
        <v>42</v>
      </c>
      <c r="H1019" s="119">
        <f t="shared" si="352"/>
        <v>42</v>
      </c>
      <c r="I1019" s="119">
        <f t="shared" si="352"/>
        <v>42</v>
      </c>
      <c r="J1019" s="239"/>
      <c r="K1019" s="239"/>
      <c r="L1019" s="239"/>
      <c r="M1019" s="239"/>
      <c r="N1019" s="239"/>
      <c r="O1019" s="239"/>
      <c r="P1019" s="239"/>
      <c r="Q1019" s="239"/>
      <c r="R1019" s="239"/>
      <c r="S1019" s="239"/>
      <c r="T1019" s="239"/>
    </row>
    <row r="1020" spans="1:20" s="82" customFormat="1" ht="25.5" x14ac:dyDescent="0.25">
      <c r="A1020" s="24" t="s">
        <v>226</v>
      </c>
      <c r="B1020" s="53">
        <v>918</v>
      </c>
      <c r="C1020" s="48" t="s">
        <v>26</v>
      </c>
      <c r="D1020" s="48" t="s">
        <v>28</v>
      </c>
      <c r="E1020" s="48" t="s">
        <v>380</v>
      </c>
      <c r="F1020" s="48" t="s">
        <v>59</v>
      </c>
      <c r="G1020" s="119">
        <f>42</f>
        <v>42</v>
      </c>
      <c r="H1020" s="119">
        <f>42</f>
        <v>42</v>
      </c>
      <c r="I1020" s="119">
        <f>42</f>
        <v>42</v>
      </c>
      <c r="J1020" s="239"/>
      <c r="K1020" s="239"/>
      <c r="L1020" s="239"/>
      <c r="M1020" s="239"/>
      <c r="N1020" s="239"/>
      <c r="O1020" s="239"/>
      <c r="P1020" s="239"/>
      <c r="Q1020" s="239"/>
      <c r="R1020" s="239"/>
      <c r="S1020" s="239"/>
      <c r="T1020" s="239"/>
    </row>
    <row r="1021" spans="1:20" s="82" customFormat="1" ht="31.5" x14ac:dyDescent="0.25">
      <c r="A1021" s="86" t="s">
        <v>216</v>
      </c>
      <c r="B1021" s="44">
        <v>919</v>
      </c>
      <c r="C1021" s="86"/>
      <c r="D1021" s="86"/>
      <c r="E1021" s="86"/>
      <c r="F1021" s="86"/>
      <c r="G1021" s="116">
        <f t="shared" ref="G1021:I1022" si="353">G1022</f>
        <v>15675.300000000001</v>
      </c>
      <c r="H1021" s="116">
        <f t="shared" si="353"/>
        <v>15376.1</v>
      </c>
      <c r="I1021" s="116">
        <f t="shared" si="353"/>
        <v>15821.499999999998</v>
      </c>
      <c r="J1021" s="184"/>
      <c r="K1021" s="184"/>
      <c r="L1021" s="184"/>
      <c r="M1021" s="239"/>
      <c r="N1021" s="239"/>
      <c r="O1021" s="239"/>
      <c r="P1021" s="239"/>
      <c r="Q1021" s="239"/>
      <c r="R1021" s="239"/>
      <c r="S1021" s="239"/>
      <c r="T1021" s="239"/>
    </row>
    <row r="1022" spans="1:20" s="82" customFormat="1" x14ac:dyDescent="0.25">
      <c r="A1022" s="24" t="s">
        <v>98</v>
      </c>
      <c r="B1022" s="53">
        <v>919</v>
      </c>
      <c r="C1022" s="48" t="s">
        <v>26</v>
      </c>
      <c r="D1022" s="48"/>
      <c r="E1022" s="48"/>
      <c r="F1022" s="48"/>
      <c r="G1022" s="119">
        <f>G1023</f>
        <v>15675.300000000001</v>
      </c>
      <c r="H1022" s="119">
        <f t="shared" si="353"/>
        <v>15376.1</v>
      </c>
      <c r="I1022" s="119">
        <f t="shared" si="353"/>
        <v>15821.499999999998</v>
      </c>
      <c r="J1022" s="170"/>
      <c r="K1022" s="170"/>
      <c r="L1022" s="170"/>
      <c r="M1022" s="239"/>
      <c r="N1022" s="239"/>
      <c r="O1022" s="239"/>
      <c r="P1022" s="239"/>
      <c r="Q1022" s="239"/>
      <c r="R1022" s="239"/>
      <c r="S1022" s="239"/>
      <c r="T1022" s="239"/>
    </row>
    <row r="1023" spans="1:20" s="82" customFormat="1" ht="29.25" customHeight="1" x14ac:dyDescent="0.25">
      <c r="A1023" s="24" t="s">
        <v>158</v>
      </c>
      <c r="B1023" s="53">
        <v>919</v>
      </c>
      <c r="C1023" s="48" t="s">
        <v>26</v>
      </c>
      <c r="D1023" s="48" t="s">
        <v>35</v>
      </c>
      <c r="E1023" s="48"/>
      <c r="F1023" s="48"/>
      <c r="G1023" s="119">
        <f>G1024+G1033</f>
        <v>15675.300000000001</v>
      </c>
      <c r="H1023" s="119">
        <f t="shared" ref="H1023:I1023" si="354">H1024+H1033</f>
        <v>15376.1</v>
      </c>
      <c r="I1023" s="119">
        <f t="shared" si="354"/>
        <v>15821.499999999998</v>
      </c>
      <c r="J1023" s="239"/>
      <c r="K1023" s="239"/>
      <c r="L1023" s="239"/>
      <c r="M1023" s="239"/>
      <c r="N1023" s="239"/>
      <c r="O1023" s="239"/>
      <c r="P1023" s="239"/>
      <c r="Q1023" s="239"/>
      <c r="R1023" s="239"/>
      <c r="S1023" s="239"/>
      <c r="T1023" s="239"/>
    </row>
    <row r="1024" spans="1:20" s="82" customFormat="1" ht="27.75" customHeight="1" x14ac:dyDescent="0.25">
      <c r="A1024" s="23" t="s">
        <v>218</v>
      </c>
      <c r="B1024" s="53">
        <v>919</v>
      </c>
      <c r="C1024" s="48" t="s">
        <v>26</v>
      </c>
      <c r="D1024" s="48" t="s">
        <v>35</v>
      </c>
      <c r="E1024" s="48" t="s">
        <v>159</v>
      </c>
      <c r="F1024" s="48"/>
      <c r="G1024" s="119">
        <f>G1025+G1028</f>
        <v>15645.7</v>
      </c>
      <c r="H1024" s="119">
        <f>H1025+H1028</f>
        <v>15346.5</v>
      </c>
      <c r="I1024" s="119">
        <f>I1025+I1028</f>
        <v>15791.899999999998</v>
      </c>
      <c r="J1024" s="239"/>
      <c r="K1024" s="239"/>
      <c r="L1024" s="239"/>
      <c r="M1024" s="239"/>
      <c r="N1024" s="239"/>
      <c r="O1024" s="239"/>
      <c r="P1024" s="239"/>
      <c r="Q1024" s="239"/>
      <c r="R1024" s="239"/>
      <c r="S1024" s="239"/>
      <c r="T1024" s="239"/>
    </row>
    <row r="1025" spans="1:20" s="82" customFormat="1" ht="25.5" x14ac:dyDescent="0.25">
      <c r="A1025" s="23" t="s">
        <v>338</v>
      </c>
      <c r="B1025" s="53">
        <v>919</v>
      </c>
      <c r="C1025" s="48" t="s">
        <v>26</v>
      </c>
      <c r="D1025" s="48" t="s">
        <v>35</v>
      </c>
      <c r="E1025" s="48" t="s">
        <v>160</v>
      </c>
      <c r="F1025" s="48"/>
      <c r="G1025" s="119">
        <f t="shared" ref="G1025:I1026" si="355">G1026</f>
        <v>4393.6000000000004</v>
      </c>
      <c r="H1025" s="119">
        <f t="shared" si="355"/>
        <v>4569.3999999999996</v>
      </c>
      <c r="I1025" s="119">
        <f t="shared" si="355"/>
        <v>4752.2</v>
      </c>
      <c r="J1025" s="239"/>
      <c r="K1025" s="239"/>
      <c r="L1025" s="239"/>
      <c r="M1025" s="239"/>
      <c r="N1025" s="239"/>
      <c r="O1025" s="239"/>
      <c r="P1025" s="239"/>
      <c r="Q1025" s="239"/>
      <c r="R1025" s="239"/>
      <c r="S1025" s="239"/>
      <c r="T1025" s="239"/>
    </row>
    <row r="1026" spans="1:20" s="82" customFormat="1" x14ac:dyDescent="0.25">
      <c r="A1026" s="23" t="s">
        <v>138</v>
      </c>
      <c r="B1026" s="53">
        <v>919</v>
      </c>
      <c r="C1026" s="48" t="s">
        <v>26</v>
      </c>
      <c r="D1026" s="48" t="s">
        <v>35</v>
      </c>
      <c r="E1026" s="48" t="s">
        <v>161</v>
      </c>
      <c r="F1026" s="48"/>
      <c r="G1026" s="119">
        <f t="shared" si="355"/>
        <v>4393.6000000000004</v>
      </c>
      <c r="H1026" s="119">
        <f t="shared" si="355"/>
        <v>4569.3999999999996</v>
      </c>
      <c r="I1026" s="119">
        <f t="shared" si="355"/>
        <v>4752.2</v>
      </c>
      <c r="J1026" s="239"/>
      <c r="K1026" s="239"/>
      <c r="L1026" s="239"/>
      <c r="M1026" s="239"/>
      <c r="N1026" s="239"/>
      <c r="O1026" s="239"/>
      <c r="P1026" s="239"/>
      <c r="Q1026" s="239"/>
      <c r="R1026" s="239"/>
      <c r="S1026" s="239"/>
      <c r="T1026" s="239"/>
    </row>
    <row r="1027" spans="1:20" s="82" customFormat="1" ht="38.25" x14ac:dyDescent="0.25">
      <c r="A1027" s="24" t="s">
        <v>225</v>
      </c>
      <c r="B1027" s="53">
        <v>919</v>
      </c>
      <c r="C1027" s="48" t="s">
        <v>26</v>
      </c>
      <c r="D1027" s="48" t="s">
        <v>35</v>
      </c>
      <c r="E1027" s="48" t="s">
        <v>161</v>
      </c>
      <c r="F1027" s="48" t="s">
        <v>66</v>
      </c>
      <c r="G1027" s="119">
        <v>4393.6000000000004</v>
      </c>
      <c r="H1027" s="119">
        <v>4569.3999999999996</v>
      </c>
      <c r="I1027" s="119">
        <v>4752.2</v>
      </c>
      <c r="J1027" s="239"/>
      <c r="K1027" s="239"/>
      <c r="L1027" s="239"/>
      <c r="M1027" s="239"/>
      <c r="N1027" s="239"/>
      <c r="O1027" s="239"/>
      <c r="P1027" s="239"/>
      <c r="Q1027" s="239"/>
      <c r="R1027" s="239"/>
      <c r="S1027" s="239"/>
      <c r="T1027" s="239"/>
    </row>
    <row r="1028" spans="1:20" s="82" customFormat="1" ht="25.5" x14ac:dyDescent="0.25">
      <c r="A1028" s="24" t="s">
        <v>219</v>
      </c>
      <c r="B1028" s="53">
        <v>919</v>
      </c>
      <c r="C1028" s="48" t="s">
        <v>26</v>
      </c>
      <c r="D1028" s="48" t="s">
        <v>35</v>
      </c>
      <c r="E1028" s="48" t="s">
        <v>162</v>
      </c>
      <c r="F1028" s="48"/>
      <c r="G1028" s="119">
        <f>G1029</f>
        <v>11252.1</v>
      </c>
      <c r="H1028" s="119">
        <f>H1029</f>
        <v>10777.1</v>
      </c>
      <c r="I1028" s="119">
        <f>I1029</f>
        <v>11039.699999999999</v>
      </c>
      <c r="J1028" s="239"/>
      <c r="K1028" s="239"/>
      <c r="L1028" s="239"/>
      <c r="M1028" s="239"/>
      <c r="N1028" s="239"/>
      <c r="O1028" s="239"/>
      <c r="P1028" s="239"/>
      <c r="Q1028" s="239"/>
      <c r="R1028" s="239"/>
      <c r="S1028" s="239"/>
      <c r="T1028" s="239"/>
    </row>
    <row r="1029" spans="1:20" s="82" customFormat="1" x14ac:dyDescent="0.25">
      <c r="A1029" s="24" t="s">
        <v>138</v>
      </c>
      <c r="B1029" s="53">
        <v>919</v>
      </c>
      <c r="C1029" s="48" t="s">
        <v>26</v>
      </c>
      <c r="D1029" s="48" t="s">
        <v>35</v>
      </c>
      <c r="E1029" s="48" t="s">
        <v>163</v>
      </c>
      <c r="F1029" s="48"/>
      <c r="G1029" s="119">
        <f>G1030+G1031+G1032</f>
        <v>11252.1</v>
      </c>
      <c r="H1029" s="119">
        <f t="shared" ref="H1029:I1029" si="356">H1030+H1031+H1032</f>
        <v>10777.1</v>
      </c>
      <c r="I1029" s="119">
        <f t="shared" si="356"/>
        <v>11039.699999999999</v>
      </c>
      <c r="J1029" s="239"/>
      <c r="K1029" s="239"/>
      <c r="L1029" s="239"/>
      <c r="M1029" s="239"/>
      <c r="N1029" s="239"/>
      <c r="O1029" s="239"/>
      <c r="P1029" s="239"/>
      <c r="Q1029" s="239"/>
      <c r="R1029" s="239"/>
      <c r="S1029" s="239"/>
      <c r="T1029" s="239"/>
    </row>
    <row r="1030" spans="1:20" s="82" customFormat="1" ht="44.25" customHeight="1" x14ac:dyDescent="0.25">
      <c r="A1030" s="24" t="s">
        <v>225</v>
      </c>
      <c r="B1030" s="53">
        <v>919</v>
      </c>
      <c r="C1030" s="48" t="s">
        <v>26</v>
      </c>
      <c r="D1030" s="48" t="s">
        <v>35</v>
      </c>
      <c r="E1030" s="48" t="s">
        <v>163</v>
      </c>
      <c r="F1030" s="48" t="s">
        <v>66</v>
      </c>
      <c r="G1030" s="119">
        <v>9234.7000000000007</v>
      </c>
      <c r="H1030" s="119">
        <v>9600.4</v>
      </c>
      <c r="I1030" s="119">
        <v>9980.9</v>
      </c>
      <c r="J1030" s="239"/>
      <c r="K1030" s="239"/>
      <c r="L1030" s="239"/>
      <c r="M1030" s="239"/>
      <c r="N1030" s="239"/>
      <c r="O1030" s="239"/>
      <c r="P1030" s="239"/>
      <c r="Q1030" s="239"/>
      <c r="R1030" s="239"/>
      <c r="S1030" s="239"/>
      <c r="T1030" s="239"/>
    </row>
    <row r="1031" spans="1:20" s="82" customFormat="1" ht="25.5" x14ac:dyDescent="0.25">
      <c r="A1031" s="24" t="s">
        <v>226</v>
      </c>
      <c r="B1031" s="53">
        <v>919</v>
      </c>
      <c r="C1031" s="48" t="s">
        <v>26</v>
      </c>
      <c r="D1031" s="48" t="s">
        <v>35</v>
      </c>
      <c r="E1031" s="48" t="s">
        <v>163</v>
      </c>
      <c r="F1031" s="48" t="s">
        <v>59</v>
      </c>
      <c r="G1031" s="119">
        <v>1983.1</v>
      </c>
      <c r="H1031" s="119">
        <v>1169.7</v>
      </c>
      <c r="I1031" s="119">
        <v>1051.8</v>
      </c>
      <c r="J1031" s="239"/>
      <c r="K1031" s="239"/>
      <c r="L1031" s="239"/>
      <c r="M1031" s="239"/>
      <c r="N1031" s="239"/>
      <c r="O1031" s="239"/>
      <c r="P1031" s="239"/>
      <c r="Q1031" s="239"/>
      <c r="R1031" s="239"/>
      <c r="S1031" s="239"/>
      <c r="T1031" s="239"/>
    </row>
    <row r="1032" spans="1:20" s="82" customFormat="1" x14ac:dyDescent="0.25">
      <c r="A1032" s="24" t="s">
        <v>95</v>
      </c>
      <c r="B1032" s="53">
        <v>919</v>
      </c>
      <c r="C1032" s="48" t="s">
        <v>26</v>
      </c>
      <c r="D1032" s="48" t="s">
        <v>35</v>
      </c>
      <c r="E1032" s="48" t="s">
        <v>163</v>
      </c>
      <c r="F1032" s="48" t="s">
        <v>62</v>
      </c>
      <c r="G1032" s="119">
        <v>34.299999999999997</v>
      </c>
      <c r="H1032" s="119">
        <v>7</v>
      </c>
      <c r="I1032" s="119">
        <v>7</v>
      </c>
      <c r="J1032" s="239"/>
      <c r="K1032" s="239"/>
      <c r="L1032" s="239"/>
      <c r="M1032" s="239"/>
      <c r="N1032" s="239"/>
      <c r="O1032" s="239"/>
      <c r="P1032" s="239"/>
      <c r="Q1032" s="239"/>
      <c r="R1032" s="239"/>
      <c r="S1032" s="239"/>
      <c r="T1032" s="239"/>
    </row>
    <row r="1033" spans="1:20" s="82" customFormat="1" x14ac:dyDescent="0.25">
      <c r="A1033" s="24" t="s">
        <v>94</v>
      </c>
      <c r="B1033" s="53">
        <v>919</v>
      </c>
      <c r="C1033" s="48" t="s">
        <v>26</v>
      </c>
      <c r="D1033" s="48" t="s">
        <v>28</v>
      </c>
      <c r="E1033" s="48" t="s">
        <v>120</v>
      </c>
      <c r="F1033" s="48"/>
      <c r="G1033" s="205">
        <f>G1034</f>
        <v>29.6</v>
      </c>
      <c r="H1033" s="205">
        <f t="shared" ref="H1033:I1034" si="357">H1034</f>
        <v>29.6</v>
      </c>
      <c r="I1033" s="205">
        <f t="shared" si="357"/>
        <v>29.6</v>
      </c>
      <c r="J1033" s="239"/>
      <c r="K1033" s="239"/>
      <c r="L1033" s="239"/>
      <c r="M1033" s="239"/>
      <c r="N1033" s="239"/>
      <c r="O1033" s="239"/>
      <c r="P1033" s="239"/>
      <c r="Q1033" s="239"/>
      <c r="R1033" s="239"/>
      <c r="S1033" s="239"/>
      <c r="T1033" s="239"/>
    </row>
    <row r="1034" spans="1:20" s="82" customFormat="1" x14ac:dyDescent="0.25">
      <c r="A1034" s="24" t="s">
        <v>379</v>
      </c>
      <c r="B1034" s="53">
        <v>919</v>
      </c>
      <c r="C1034" s="48" t="s">
        <v>26</v>
      </c>
      <c r="D1034" s="48" t="s">
        <v>28</v>
      </c>
      <c r="E1034" s="48" t="s">
        <v>380</v>
      </c>
      <c r="F1034" s="48"/>
      <c r="G1034" s="205">
        <f>G1035</f>
        <v>29.6</v>
      </c>
      <c r="H1034" s="205">
        <f t="shared" si="357"/>
        <v>29.6</v>
      </c>
      <c r="I1034" s="205">
        <f t="shared" si="357"/>
        <v>29.6</v>
      </c>
      <c r="J1034" s="239"/>
      <c r="K1034" s="239"/>
      <c r="L1034" s="239"/>
      <c r="M1034" s="239"/>
      <c r="N1034" s="239"/>
      <c r="O1034" s="239"/>
      <c r="P1034" s="239"/>
      <c r="Q1034" s="239"/>
      <c r="R1034" s="239"/>
      <c r="S1034" s="239"/>
      <c r="T1034" s="239"/>
    </row>
    <row r="1035" spans="1:20" s="82" customFormat="1" ht="25.5" x14ac:dyDescent="0.25">
      <c r="A1035" s="24" t="s">
        <v>226</v>
      </c>
      <c r="B1035" s="53">
        <v>919</v>
      </c>
      <c r="C1035" s="48" t="s">
        <v>26</v>
      </c>
      <c r="D1035" s="48" t="s">
        <v>28</v>
      </c>
      <c r="E1035" s="48" t="s">
        <v>380</v>
      </c>
      <c r="F1035" s="48" t="s">
        <v>59</v>
      </c>
      <c r="G1035" s="205">
        <v>29.6</v>
      </c>
      <c r="H1035" s="205">
        <v>29.6</v>
      </c>
      <c r="I1035" s="205">
        <v>29.6</v>
      </c>
      <c r="J1035" s="239"/>
      <c r="K1035" s="239"/>
      <c r="L1035" s="239"/>
      <c r="M1035" s="239"/>
      <c r="N1035" s="239"/>
      <c r="O1035" s="239"/>
      <c r="P1035" s="239"/>
      <c r="Q1035" s="239"/>
      <c r="R1035" s="239"/>
      <c r="S1035" s="239"/>
      <c r="T1035" s="239"/>
    </row>
    <row r="1036" spans="1:20" s="82" customFormat="1" x14ac:dyDescent="0.25">
      <c r="A1036" s="19"/>
      <c r="B1036" s="187"/>
      <c r="C1036" s="50"/>
      <c r="D1036" s="50"/>
      <c r="E1036" s="51"/>
      <c r="F1036" s="51"/>
      <c r="G1036" s="93"/>
      <c r="H1036" s="93"/>
      <c r="I1036" s="93"/>
      <c r="J1036" s="239"/>
      <c r="K1036" s="239"/>
      <c r="L1036" s="239"/>
      <c r="M1036" s="239"/>
      <c r="N1036" s="239"/>
      <c r="O1036" s="239"/>
      <c r="P1036" s="239"/>
      <c r="Q1036" s="239"/>
      <c r="R1036" s="239"/>
      <c r="S1036" s="239"/>
      <c r="T1036" s="239"/>
    </row>
    <row r="1037" spans="1:20" s="82" customFormat="1" x14ac:dyDescent="0.25">
      <c r="A1037" s="19"/>
      <c r="B1037" s="187"/>
      <c r="C1037" s="50"/>
      <c r="D1037" s="50"/>
      <c r="E1037" s="50"/>
      <c r="F1037" s="50"/>
      <c r="G1037" s="91"/>
      <c r="H1037" s="91"/>
      <c r="I1037" s="91"/>
      <c r="J1037" s="239"/>
      <c r="K1037" s="239"/>
      <c r="L1037" s="239"/>
      <c r="M1037" s="239"/>
      <c r="N1037" s="239"/>
      <c r="O1037" s="239"/>
      <c r="P1037" s="239"/>
      <c r="Q1037" s="239"/>
      <c r="R1037" s="239"/>
      <c r="S1037" s="239"/>
      <c r="T1037" s="239"/>
    </row>
    <row r="1038" spans="1:20" s="82" customFormat="1" x14ac:dyDescent="0.25">
      <c r="A1038" s="19"/>
      <c r="B1038" s="187"/>
      <c r="C1038" s="50"/>
      <c r="D1038" s="50"/>
      <c r="E1038" s="50"/>
      <c r="F1038" s="50"/>
      <c r="G1038" s="91"/>
      <c r="H1038" s="91"/>
      <c r="I1038" s="91"/>
      <c r="J1038" s="239"/>
      <c r="K1038" s="239"/>
      <c r="L1038" s="239"/>
      <c r="M1038" s="239"/>
      <c r="N1038" s="239"/>
      <c r="O1038" s="239"/>
      <c r="P1038" s="239"/>
      <c r="Q1038" s="239"/>
      <c r="R1038" s="239"/>
      <c r="S1038" s="239"/>
      <c r="T1038" s="239"/>
    </row>
    <row r="1039" spans="1:20" s="82" customFormat="1" x14ac:dyDescent="0.25">
      <c r="A1039" s="19"/>
      <c r="B1039" s="187"/>
      <c r="C1039" s="50"/>
      <c r="D1039" s="50"/>
      <c r="E1039" s="50"/>
      <c r="F1039" s="50"/>
      <c r="G1039" s="91"/>
      <c r="H1039" s="91"/>
      <c r="I1039" s="91"/>
      <c r="J1039" s="239"/>
      <c r="K1039" s="239"/>
      <c r="L1039" s="239"/>
      <c r="M1039" s="239"/>
      <c r="N1039" s="239"/>
      <c r="O1039" s="239"/>
      <c r="P1039" s="239"/>
      <c r="Q1039" s="239"/>
      <c r="R1039" s="239"/>
      <c r="S1039" s="239"/>
      <c r="T1039" s="239"/>
    </row>
    <row r="1040" spans="1:20" s="82" customFormat="1" x14ac:dyDescent="0.25">
      <c r="A1040" s="19"/>
      <c r="B1040" s="187"/>
      <c r="C1040" s="50"/>
      <c r="D1040" s="50"/>
      <c r="E1040" s="50"/>
      <c r="F1040" s="50"/>
      <c r="G1040" s="91"/>
      <c r="H1040" s="91"/>
      <c r="I1040" s="91"/>
      <c r="J1040" s="239"/>
      <c r="K1040" s="239"/>
      <c r="L1040" s="239"/>
      <c r="M1040" s="239"/>
      <c r="N1040" s="239"/>
      <c r="O1040" s="239"/>
      <c r="P1040" s="239"/>
      <c r="Q1040" s="239"/>
      <c r="R1040" s="239"/>
      <c r="S1040" s="239"/>
      <c r="T1040" s="239"/>
    </row>
    <row r="1041" spans="1:20" s="82" customFormat="1" x14ac:dyDescent="0.25">
      <c r="A1041" s="19"/>
      <c r="B1041" s="187"/>
      <c r="C1041" s="50"/>
      <c r="D1041" s="50"/>
      <c r="E1041" s="50"/>
      <c r="F1041" s="50"/>
      <c r="G1041" s="91"/>
      <c r="H1041" s="91"/>
      <c r="I1041" s="91"/>
      <c r="J1041" s="239"/>
      <c r="K1041" s="239"/>
      <c r="L1041" s="239"/>
      <c r="M1041" s="239"/>
      <c r="N1041" s="239"/>
      <c r="O1041" s="239"/>
      <c r="P1041" s="239"/>
      <c r="Q1041" s="239"/>
      <c r="R1041" s="239"/>
      <c r="S1041" s="239"/>
      <c r="T1041" s="239"/>
    </row>
    <row r="1042" spans="1:20" s="82" customFormat="1" x14ac:dyDescent="0.25">
      <c r="A1042" s="19"/>
      <c r="B1042" s="187"/>
      <c r="C1042" s="50"/>
      <c r="D1042" s="50"/>
      <c r="E1042" s="51"/>
      <c r="F1042" s="51"/>
      <c r="G1042" s="92"/>
      <c r="H1042" s="92"/>
      <c r="I1042" s="92"/>
      <c r="J1042" s="239"/>
      <c r="K1042" s="239"/>
      <c r="L1042" s="239"/>
      <c r="M1042" s="239"/>
      <c r="N1042" s="239"/>
      <c r="O1042" s="239"/>
      <c r="P1042" s="239"/>
      <c r="Q1042" s="239"/>
      <c r="R1042" s="239"/>
      <c r="S1042" s="239"/>
      <c r="T1042" s="239"/>
    </row>
    <row r="1043" spans="1:20" s="82" customFormat="1" x14ac:dyDescent="0.25">
      <c r="A1043" s="19"/>
      <c r="B1043" s="187"/>
      <c r="C1043" s="50"/>
      <c r="D1043" s="50"/>
      <c r="E1043" s="50"/>
      <c r="F1043" s="50"/>
      <c r="G1043" s="91"/>
      <c r="H1043" s="91"/>
      <c r="I1043" s="91"/>
      <c r="J1043" s="239"/>
      <c r="K1043" s="239"/>
      <c r="L1043" s="239"/>
      <c r="M1043" s="239"/>
      <c r="N1043" s="239"/>
      <c r="O1043" s="239"/>
      <c r="P1043" s="239"/>
      <c r="Q1043" s="239"/>
      <c r="R1043" s="239"/>
      <c r="S1043" s="239"/>
      <c r="T1043" s="239"/>
    </row>
    <row r="1044" spans="1:20" s="82" customFormat="1" x14ac:dyDescent="0.25">
      <c r="A1044" s="19"/>
      <c r="B1044" s="187"/>
      <c r="C1044" s="50"/>
      <c r="D1044" s="50"/>
      <c r="E1044" s="50"/>
      <c r="F1044" s="50"/>
      <c r="G1044" s="91"/>
      <c r="H1044" s="91"/>
      <c r="I1044" s="91"/>
      <c r="J1044" s="239"/>
      <c r="K1044" s="239"/>
      <c r="L1044" s="239"/>
      <c r="M1044" s="239"/>
      <c r="N1044" s="239"/>
      <c r="O1044" s="239"/>
      <c r="P1044" s="239"/>
      <c r="Q1044" s="239"/>
      <c r="R1044" s="239"/>
      <c r="S1044" s="239"/>
      <c r="T1044" s="239"/>
    </row>
    <row r="1045" spans="1:20" s="82" customFormat="1" x14ac:dyDescent="0.25">
      <c r="A1045" s="19"/>
      <c r="B1045" s="187"/>
      <c r="C1045" s="50"/>
      <c r="D1045" s="50"/>
      <c r="E1045" s="50"/>
      <c r="F1045" s="50"/>
      <c r="G1045" s="91"/>
      <c r="H1045" s="91"/>
      <c r="I1045" s="91"/>
      <c r="J1045" s="239"/>
      <c r="K1045" s="239"/>
      <c r="L1045" s="239"/>
      <c r="M1045" s="239"/>
      <c r="N1045" s="239"/>
      <c r="O1045" s="239"/>
      <c r="P1045" s="239"/>
      <c r="Q1045" s="239"/>
      <c r="R1045" s="239"/>
      <c r="S1045" s="239"/>
      <c r="T1045" s="239"/>
    </row>
    <row r="1046" spans="1:20" s="82" customFormat="1" x14ac:dyDescent="0.25">
      <c r="A1046" s="19"/>
      <c r="B1046" s="187"/>
      <c r="C1046" s="50"/>
      <c r="D1046" s="50"/>
      <c r="E1046" s="50"/>
      <c r="F1046" s="50"/>
      <c r="G1046" s="91"/>
      <c r="H1046" s="91"/>
      <c r="I1046" s="91"/>
      <c r="J1046" s="239"/>
      <c r="K1046" s="239"/>
      <c r="L1046" s="239"/>
      <c r="M1046" s="239"/>
      <c r="N1046" s="239"/>
      <c r="O1046" s="239"/>
      <c r="P1046" s="239"/>
      <c r="Q1046" s="239"/>
      <c r="R1046" s="239"/>
      <c r="S1046" s="239"/>
      <c r="T1046" s="239"/>
    </row>
    <row r="1047" spans="1:20" s="82" customFormat="1" x14ac:dyDescent="0.25">
      <c r="A1047" s="19"/>
      <c r="B1047" s="187"/>
      <c r="C1047" s="50"/>
      <c r="D1047" s="50"/>
      <c r="E1047" s="51"/>
      <c r="F1047" s="51"/>
      <c r="G1047" s="92"/>
      <c r="H1047" s="92"/>
      <c r="I1047" s="92"/>
      <c r="J1047" s="239"/>
      <c r="K1047" s="239"/>
      <c r="L1047" s="239"/>
      <c r="M1047" s="239"/>
      <c r="N1047" s="239"/>
      <c r="O1047" s="239"/>
      <c r="P1047" s="239"/>
      <c r="Q1047" s="239"/>
      <c r="R1047" s="239"/>
      <c r="S1047" s="239"/>
      <c r="T1047" s="239"/>
    </row>
    <row r="1048" spans="1:20" s="82" customFormat="1" x14ac:dyDescent="0.25">
      <c r="A1048" s="19"/>
      <c r="B1048" s="187"/>
      <c r="C1048" s="50"/>
      <c r="D1048" s="50"/>
      <c r="E1048" s="50"/>
      <c r="F1048" s="50"/>
      <c r="G1048" s="91"/>
      <c r="H1048" s="91"/>
      <c r="I1048" s="91"/>
      <c r="J1048" s="239"/>
      <c r="K1048" s="239"/>
      <c r="L1048" s="239"/>
      <c r="M1048" s="239"/>
      <c r="N1048" s="239"/>
      <c r="O1048" s="239"/>
      <c r="P1048" s="239"/>
      <c r="Q1048" s="239"/>
      <c r="R1048" s="239"/>
      <c r="S1048" s="239"/>
      <c r="T1048" s="239"/>
    </row>
    <row r="1049" spans="1:20" s="82" customFormat="1" x14ac:dyDescent="0.25">
      <c r="A1049" s="19"/>
      <c r="B1049" s="187"/>
      <c r="C1049" s="50"/>
      <c r="D1049" s="50"/>
      <c r="E1049" s="50"/>
      <c r="F1049" s="50"/>
      <c r="G1049" s="91"/>
      <c r="H1049" s="91"/>
      <c r="I1049" s="91"/>
      <c r="J1049" s="239"/>
      <c r="K1049" s="239"/>
      <c r="L1049" s="239"/>
      <c r="M1049" s="239"/>
      <c r="N1049" s="239"/>
      <c r="O1049" s="239"/>
      <c r="P1049" s="239"/>
      <c r="Q1049" s="239"/>
      <c r="R1049" s="239"/>
      <c r="S1049" s="239"/>
      <c r="T1049" s="239"/>
    </row>
    <row r="1050" spans="1:20" s="82" customFormat="1" x14ac:dyDescent="0.25">
      <c r="A1050" s="19"/>
      <c r="B1050" s="187"/>
      <c r="C1050" s="50"/>
      <c r="D1050" s="50"/>
      <c r="E1050" s="50"/>
      <c r="F1050" s="50"/>
      <c r="G1050" s="91"/>
      <c r="H1050" s="91"/>
      <c r="I1050" s="91"/>
      <c r="J1050" s="239"/>
      <c r="K1050" s="239"/>
      <c r="L1050" s="239"/>
      <c r="M1050" s="239"/>
      <c r="N1050" s="239"/>
      <c r="O1050" s="239"/>
      <c r="P1050" s="239"/>
      <c r="Q1050" s="239"/>
      <c r="R1050" s="239"/>
      <c r="S1050" s="239"/>
      <c r="T1050" s="239"/>
    </row>
    <row r="1051" spans="1:20" s="82" customFormat="1" x14ac:dyDescent="0.25">
      <c r="A1051" s="19"/>
      <c r="B1051" s="187"/>
      <c r="C1051" s="50"/>
      <c r="D1051" s="50"/>
      <c r="E1051" s="51"/>
      <c r="F1051" s="51"/>
      <c r="G1051" s="92"/>
      <c r="H1051" s="92"/>
      <c r="I1051" s="92"/>
      <c r="J1051" s="239"/>
      <c r="K1051" s="239"/>
      <c r="L1051" s="239"/>
      <c r="M1051" s="239"/>
      <c r="N1051" s="239"/>
      <c r="O1051" s="239"/>
      <c r="P1051" s="239"/>
      <c r="Q1051" s="239"/>
      <c r="R1051" s="239"/>
      <c r="S1051" s="239"/>
      <c r="T1051" s="239"/>
    </row>
    <row r="1052" spans="1:20" s="82" customFormat="1" x14ac:dyDescent="0.25">
      <c r="A1052" s="19"/>
      <c r="B1052" s="187"/>
      <c r="C1052" s="50"/>
      <c r="D1052" s="50"/>
      <c r="E1052" s="50"/>
      <c r="F1052" s="50"/>
      <c r="G1052" s="91"/>
      <c r="H1052" s="91"/>
      <c r="I1052" s="91"/>
      <c r="J1052" s="239"/>
      <c r="K1052" s="239"/>
      <c r="L1052" s="239"/>
      <c r="M1052" s="239"/>
      <c r="N1052" s="239"/>
      <c r="O1052" s="239"/>
      <c r="P1052" s="239"/>
      <c r="Q1052" s="239"/>
      <c r="R1052" s="239"/>
      <c r="S1052" s="239"/>
      <c r="T1052" s="239"/>
    </row>
    <row r="1053" spans="1:20" s="82" customFormat="1" x14ac:dyDescent="0.25">
      <c r="A1053" s="19"/>
      <c r="B1053" s="187"/>
      <c r="C1053" s="50"/>
      <c r="D1053" s="50"/>
      <c r="E1053" s="50"/>
      <c r="F1053" s="50"/>
      <c r="G1053" s="91"/>
      <c r="H1053" s="91"/>
      <c r="I1053" s="91"/>
      <c r="J1053" s="239"/>
      <c r="K1053" s="239"/>
      <c r="L1053" s="239"/>
      <c r="M1053" s="239"/>
      <c r="N1053" s="239"/>
      <c r="O1053" s="239"/>
      <c r="P1053" s="239"/>
      <c r="Q1053" s="239"/>
      <c r="R1053" s="239"/>
      <c r="S1053" s="239"/>
      <c r="T1053" s="239"/>
    </row>
    <row r="1054" spans="1:20" s="82" customFormat="1" x14ac:dyDescent="0.25">
      <c r="A1054" s="19"/>
      <c r="B1054" s="187"/>
      <c r="C1054" s="50"/>
      <c r="D1054" s="50"/>
      <c r="E1054" s="50"/>
      <c r="F1054" s="50"/>
      <c r="G1054" s="91"/>
      <c r="H1054" s="91"/>
      <c r="I1054" s="91"/>
      <c r="J1054" s="239"/>
      <c r="K1054" s="239"/>
      <c r="L1054" s="239"/>
      <c r="M1054" s="239"/>
      <c r="N1054" s="239"/>
      <c r="O1054" s="239"/>
      <c r="P1054" s="239"/>
      <c r="Q1054" s="239"/>
      <c r="R1054" s="239"/>
      <c r="S1054" s="239"/>
      <c r="T1054" s="239"/>
    </row>
    <row r="1055" spans="1:20" s="82" customFormat="1" x14ac:dyDescent="0.25">
      <c r="A1055" s="19"/>
      <c r="B1055" s="187"/>
      <c r="C1055" s="50"/>
      <c r="D1055" s="50"/>
      <c r="E1055" s="50"/>
      <c r="F1055" s="50"/>
      <c r="G1055" s="91"/>
      <c r="H1055" s="91"/>
      <c r="I1055" s="91"/>
      <c r="J1055" s="239"/>
      <c r="K1055" s="239"/>
      <c r="L1055" s="239"/>
      <c r="M1055" s="239"/>
      <c r="N1055" s="239"/>
      <c r="O1055" s="239"/>
      <c r="P1055" s="239"/>
      <c r="Q1055" s="239"/>
      <c r="R1055" s="239"/>
      <c r="S1055" s="239"/>
      <c r="T1055" s="239"/>
    </row>
    <row r="1056" spans="1:20" s="82" customFormat="1" x14ac:dyDescent="0.25">
      <c r="A1056" s="19"/>
      <c r="B1056" s="187"/>
      <c r="C1056" s="50"/>
      <c r="D1056" s="50"/>
      <c r="E1056" s="50"/>
      <c r="F1056" s="50"/>
      <c r="G1056" s="91"/>
      <c r="H1056" s="91"/>
      <c r="I1056" s="91"/>
      <c r="J1056" s="239"/>
      <c r="K1056" s="239"/>
      <c r="L1056" s="239"/>
      <c r="M1056" s="239"/>
      <c r="N1056" s="239"/>
      <c r="O1056" s="239"/>
      <c r="P1056" s="239"/>
      <c r="Q1056" s="239"/>
      <c r="R1056" s="239"/>
      <c r="S1056" s="239"/>
      <c r="T1056" s="239"/>
    </row>
    <row r="1057" spans="1:20" s="82" customFormat="1" x14ac:dyDescent="0.25">
      <c r="A1057" s="19"/>
      <c r="B1057" s="187"/>
      <c r="C1057" s="50"/>
      <c r="D1057" s="50"/>
      <c r="E1057" s="51"/>
      <c r="F1057" s="51"/>
      <c r="G1057" s="92"/>
      <c r="H1057" s="92"/>
      <c r="I1057" s="92"/>
      <c r="J1057" s="239"/>
      <c r="K1057" s="239"/>
      <c r="L1057" s="239"/>
      <c r="M1057" s="239"/>
      <c r="N1057" s="239"/>
      <c r="O1057" s="239"/>
      <c r="P1057" s="239"/>
      <c r="Q1057" s="239"/>
      <c r="R1057" s="239"/>
      <c r="S1057" s="239"/>
      <c r="T1057" s="239"/>
    </row>
    <row r="1058" spans="1:20" s="82" customFormat="1" x14ac:dyDescent="0.25">
      <c r="A1058" s="19"/>
      <c r="B1058" s="187"/>
      <c r="C1058" s="50"/>
      <c r="D1058" s="50"/>
      <c r="E1058" s="50"/>
      <c r="F1058" s="50"/>
      <c r="G1058" s="91"/>
      <c r="H1058" s="91"/>
      <c r="I1058" s="91"/>
      <c r="J1058" s="239"/>
      <c r="K1058" s="239"/>
      <c r="L1058" s="239"/>
      <c r="M1058" s="239"/>
      <c r="N1058" s="239"/>
      <c r="O1058" s="239"/>
      <c r="P1058" s="239"/>
      <c r="Q1058" s="239"/>
      <c r="R1058" s="239"/>
      <c r="S1058" s="239"/>
      <c r="T1058" s="239"/>
    </row>
    <row r="1059" spans="1:20" s="82" customFormat="1" x14ac:dyDescent="0.25">
      <c r="A1059" s="19"/>
      <c r="B1059" s="187"/>
      <c r="C1059" s="50"/>
      <c r="D1059" s="50"/>
      <c r="E1059" s="50"/>
      <c r="F1059" s="50"/>
      <c r="G1059" s="91"/>
      <c r="H1059" s="91"/>
      <c r="I1059" s="91"/>
      <c r="J1059" s="239"/>
      <c r="K1059" s="239"/>
      <c r="L1059" s="239"/>
      <c r="M1059" s="239"/>
      <c r="N1059" s="239"/>
      <c r="O1059" s="239"/>
      <c r="P1059" s="239"/>
      <c r="Q1059" s="239"/>
      <c r="R1059" s="239"/>
      <c r="S1059" s="239"/>
      <c r="T1059" s="239"/>
    </row>
    <row r="1060" spans="1:20" s="82" customFormat="1" x14ac:dyDescent="0.25">
      <c r="A1060" s="19"/>
      <c r="B1060" s="187"/>
      <c r="C1060" s="50"/>
      <c r="D1060" s="50"/>
      <c r="E1060" s="50"/>
      <c r="F1060" s="50"/>
      <c r="G1060" s="91"/>
      <c r="H1060" s="91"/>
      <c r="I1060" s="91"/>
      <c r="J1060" s="239"/>
      <c r="K1060" s="239"/>
      <c r="L1060" s="239"/>
      <c r="M1060" s="239"/>
      <c r="N1060" s="239"/>
      <c r="O1060" s="239"/>
      <c r="P1060" s="239"/>
      <c r="Q1060" s="239"/>
      <c r="R1060" s="239"/>
      <c r="S1060" s="239"/>
      <c r="T1060" s="239"/>
    </row>
    <row r="1061" spans="1:20" s="82" customFormat="1" x14ac:dyDescent="0.25">
      <c r="A1061" s="19"/>
      <c r="B1061" s="187"/>
      <c r="C1061" s="50"/>
      <c r="D1061" s="50"/>
      <c r="E1061" s="50"/>
      <c r="F1061" s="50"/>
      <c r="G1061" s="91"/>
      <c r="H1061" s="91"/>
      <c r="I1061" s="91"/>
      <c r="J1061" s="239"/>
      <c r="K1061" s="239"/>
      <c r="L1061" s="239"/>
      <c r="M1061" s="239"/>
      <c r="N1061" s="239"/>
      <c r="O1061" s="239"/>
      <c r="P1061" s="239"/>
      <c r="Q1061" s="239"/>
      <c r="R1061" s="239"/>
      <c r="S1061" s="239"/>
      <c r="T1061" s="239"/>
    </row>
    <row r="1062" spans="1:20" s="82" customFormat="1" x14ac:dyDescent="0.25">
      <c r="A1062" s="19"/>
      <c r="B1062" s="187"/>
      <c r="C1062" s="50"/>
      <c r="D1062" s="50"/>
      <c r="E1062" s="51"/>
      <c r="F1062" s="51"/>
      <c r="G1062" s="92"/>
      <c r="H1062" s="92"/>
      <c r="I1062" s="92"/>
      <c r="J1062" s="239"/>
      <c r="K1062" s="239"/>
      <c r="L1062" s="239"/>
      <c r="M1062" s="239"/>
      <c r="N1062" s="239"/>
      <c r="O1062" s="239"/>
      <c r="P1062" s="239"/>
      <c r="Q1062" s="239"/>
      <c r="R1062" s="239"/>
      <c r="S1062" s="239"/>
      <c r="T1062" s="239"/>
    </row>
    <row r="1063" spans="1:20" s="82" customFormat="1" x14ac:dyDescent="0.25">
      <c r="A1063" s="19"/>
      <c r="B1063" s="187"/>
      <c r="C1063" s="50"/>
      <c r="D1063" s="50"/>
      <c r="E1063" s="50"/>
      <c r="F1063" s="50"/>
      <c r="G1063" s="91"/>
      <c r="H1063" s="91"/>
      <c r="I1063" s="91"/>
      <c r="J1063" s="239"/>
      <c r="K1063" s="239"/>
      <c r="L1063" s="239"/>
      <c r="M1063" s="239"/>
      <c r="N1063" s="239"/>
      <c r="O1063" s="239"/>
      <c r="P1063" s="239"/>
      <c r="Q1063" s="239"/>
      <c r="R1063" s="239"/>
      <c r="S1063" s="239"/>
      <c r="T1063" s="239"/>
    </row>
    <row r="1064" spans="1:20" s="82" customFormat="1" x14ac:dyDescent="0.25">
      <c r="A1064" s="19"/>
      <c r="B1064" s="187"/>
      <c r="C1064" s="50"/>
      <c r="D1064" s="50"/>
      <c r="E1064" s="50"/>
      <c r="F1064" s="50"/>
      <c r="G1064" s="91"/>
      <c r="H1064" s="91"/>
      <c r="I1064" s="91"/>
      <c r="J1064" s="239"/>
      <c r="K1064" s="239"/>
      <c r="L1064" s="239"/>
      <c r="M1064" s="239"/>
      <c r="N1064" s="239"/>
      <c r="O1064" s="239"/>
      <c r="P1064" s="239"/>
      <c r="Q1064" s="239"/>
      <c r="R1064" s="239"/>
      <c r="S1064" s="239"/>
      <c r="T1064" s="239"/>
    </row>
    <row r="1065" spans="1:20" s="82" customFormat="1" x14ac:dyDescent="0.25">
      <c r="A1065" s="19"/>
      <c r="B1065" s="187"/>
      <c r="C1065" s="50"/>
      <c r="D1065" s="50"/>
      <c r="E1065" s="50"/>
      <c r="F1065" s="50"/>
      <c r="G1065" s="91"/>
      <c r="H1065" s="91"/>
      <c r="I1065" s="91"/>
      <c r="J1065" s="239"/>
      <c r="K1065" s="239"/>
      <c r="L1065" s="239"/>
      <c r="M1065" s="239"/>
      <c r="N1065" s="239"/>
      <c r="O1065" s="239"/>
      <c r="P1065" s="239"/>
      <c r="Q1065" s="239"/>
      <c r="R1065" s="239"/>
      <c r="S1065" s="239"/>
      <c r="T1065" s="239"/>
    </row>
    <row r="1066" spans="1:20" s="82" customFormat="1" x14ac:dyDescent="0.25">
      <c r="A1066" s="19"/>
      <c r="B1066" s="187"/>
      <c r="C1066" s="50"/>
      <c r="D1066" s="50"/>
      <c r="E1066" s="50"/>
      <c r="F1066" s="50"/>
      <c r="G1066" s="91"/>
      <c r="H1066" s="91"/>
      <c r="I1066" s="91"/>
      <c r="J1066" s="239"/>
      <c r="K1066" s="239"/>
      <c r="L1066" s="239"/>
      <c r="M1066" s="239"/>
      <c r="N1066" s="239"/>
      <c r="O1066" s="239"/>
      <c r="P1066" s="239"/>
      <c r="Q1066" s="239"/>
      <c r="R1066" s="239"/>
      <c r="S1066" s="239"/>
      <c r="T1066" s="239"/>
    </row>
    <row r="1067" spans="1:20" s="82" customFormat="1" x14ac:dyDescent="0.25">
      <c r="A1067" s="19"/>
      <c r="B1067" s="187"/>
      <c r="C1067" s="50"/>
      <c r="D1067" s="50"/>
      <c r="E1067" s="50"/>
      <c r="F1067" s="50"/>
      <c r="G1067" s="91"/>
      <c r="H1067" s="91"/>
      <c r="I1067" s="91"/>
      <c r="J1067" s="239"/>
      <c r="K1067" s="239"/>
      <c r="L1067" s="239"/>
      <c r="M1067" s="239"/>
      <c r="N1067" s="239"/>
      <c r="O1067" s="239"/>
      <c r="P1067" s="239"/>
      <c r="Q1067" s="239"/>
      <c r="R1067" s="239"/>
      <c r="S1067" s="239"/>
      <c r="T1067" s="239"/>
    </row>
    <row r="1068" spans="1:20" s="82" customFormat="1" x14ac:dyDescent="0.25">
      <c r="A1068" s="19"/>
      <c r="B1068" s="187"/>
      <c r="C1068" s="50"/>
      <c r="D1068" s="50"/>
      <c r="E1068" s="51"/>
      <c r="F1068" s="54"/>
      <c r="G1068" s="92"/>
      <c r="H1068" s="92"/>
      <c r="I1068" s="92"/>
      <c r="J1068" s="239"/>
      <c r="K1068" s="239"/>
      <c r="L1068" s="239"/>
      <c r="M1068" s="239"/>
      <c r="N1068" s="239"/>
      <c r="O1068" s="239"/>
      <c r="P1068" s="239"/>
      <c r="Q1068" s="239"/>
      <c r="R1068" s="239"/>
      <c r="S1068" s="239"/>
      <c r="T1068" s="239"/>
    </row>
    <row r="1069" spans="1:20" s="82" customFormat="1" x14ac:dyDescent="0.25">
      <c r="A1069" s="19"/>
      <c r="B1069" s="187"/>
      <c r="C1069" s="50"/>
      <c r="D1069" s="50"/>
      <c r="E1069" s="50"/>
      <c r="F1069" s="50"/>
      <c r="G1069" s="91"/>
      <c r="H1069" s="91"/>
      <c r="I1069" s="91"/>
      <c r="J1069" s="239"/>
      <c r="K1069" s="239"/>
      <c r="L1069" s="239"/>
      <c r="M1069" s="239"/>
      <c r="N1069" s="239"/>
      <c r="O1069" s="239"/>
      <c r="P1069" s="239"/>
      <c r="Q1069" s="239"/>
      <c r="R1069" s="239"/>
      <c r="S1069" s="239"/>
      <c r="T1069" s="239"/>
    </row>
    <row r="1070" spans="1:20" s="82" customFormat="1" x14ac:dyDescent="0.25">
      <c r="A1070" s="19"/>
      <c r="B1070" s="187"/>
      <c r="C1070" s="50"/>
      <c r="D1070" s="50"/>
      <c r="E1070" s="50"/>
      <c r="F1070" s="50"/>
      <c r="G1070" s="91"/>
      <c r="H1070" s="91"/>
      <c r="I1070" s="91"/>
      <c r="J1070" s="239"/>
      <c r="K1070" s="239"/>
      <c r="L1070" s="239"/>
      <c r="M1070" s="239"/>
      <c r="N1070" s="239"/>
      <c r="O1070" s="239"/>
      <c r="P1070" s="239"/>
      <c r="Q1070" s="239"/>
      <c r="R1070" s="239"/>
      <c r="S1070" s="239"/>
      <c r="T1070" s="239"/>
    </row>
    <row r="1071" spans="1:20" s="82" customFormat="1" x14ac:dyDescent="0.25">
      <c r="A1071" s="19"/>
      <c r="B1071" s="187"/>
      <c r="C1071" s="50"/>
      <c r="D1071" s="50"/>
      <c r="E1071" s="50"/>
      <c r="F1071" s="50"/>
      <c r="G1071" s="91"/>
      <c r="H1071" s="91"/>
      <c r="I1071" s="91"/>
      <c r="J1071" s="239"/>
      <c r="K1071" s="239"/>
      <c r="L1071" s="239"/>
      <c r="M1071" s="239"/>
      <c r="N1071" s="239"/>
      <c r="O1071" s="239"/>
      <c r="P1071" s="239"/>
      <c r="Q1071" s="239"/>
      <c r="R1071" s="239"/>
      <c r="S1071" s="239"/>
      <c r="T1071" s="239"/>
    </row>
    <row r="1072" spans="1:20" s="82" customFormat="1" x14ac:dyDescent="0.25">
      <c r="A1072" s="19"/>
      <c r="B1072" s="187"/>
      <c r="C1072" s="50"/>
      <c r="D1072" s="50"/>
      <c r="E1072" s="51"/>
      <c r="F1072" s="51"/>
      <c r="G1072" s="94"/>
      <c r="H1072" s="94"/>
      <c r="I1072" s="94"/>
      <c r="J1072" s="239"/>
      <c r="K1072" s="239"/>
      <c r="L1072" s="239"/>
      <c r="M1072" s="239"/>
      <c r="N1072" s="239"/>
      <c r="O1072" s="239"/>
      <c r="P1072" s="239"/>
      <c r="Q1072" s="239"/>
      <c r="R1072" s="239"/>
      <c r="S1072" s="239"/>
      <c r="T1072" s="239"/>
    </row>
    <row r="1073" spans="1:20" s="82" customFormat="1" x14ac:dyDescent="0.25">
      <c r="A1073" s="19"/>
      <c r="B1073" s="187"/>
      <c r="C1073" s="50"/>
      <c r="D1073" s="50"/>
      <c r="E1073" s="50"/>
      <c r="F1073" s="50"/>
      <c r="G1073" s="91"/>
      <c r="H1073" s="91"/>
      <c r="I1073" s="91"/>
      <c r="J1073" s="239"/>
      <c r="K1073" s="239"/>
      <c r="L1073" s="239"/>
      <c r="M1073" s="239"/>
      <c r="N1073" s="239"/>
      <c r="O1073" s="239"/>
      <c r="P1073" s="239"/>
      <c r="Q1073" s="239"/>
      <c r="R1073" s="239"/>
      <c r="S1073" s="239"/>
      <c r="T1073" s="239"/>
    </row>
    <row r="1074" spans="1:20" s="82" customFormat="1" x14ac:dyDescent="0.25">
      <c r="A1074" s="19"/>
      <c r="B1074" s="187"/>
      <c r="C1074" s="50"/>
      <c r="D1074" s="50"/>
      <c r="E1074" s="50"/>
      <c r="F1074" s="50"/>
      <c r="G1074" s="91"/>
      <c r="H1074" s="91"/>
      <c r="I1074" s="91"/>
      <c r="J1074" s="239"/>
      <c r="K1074" s="239"/>
      <c r="L1074" s="239"/>
      <c r="M1074" s="239"/>
      <c r="N1074" s="239"/>
      <c r="O1074" s="239"/>
      <c r="P1074" s="239"/>
      <c r="Q1074" s="239"/>
      <c r="R1074" s="239"/>
      <c r="S1074" s="239"/>
      <c r="T1074" s="239"/>
    </row>
    <row r="1075" spans="1:20" s="82" customFormat="1" x14ac:dyDescent="0.25">
      <c r="A1075" s="19"/>
      <c r="B1075" s="187"/>
      <c r="C1075" s="50"/>
      <c r="D1075" s="50"/>
      <c r="E1075" s="50"/>
      <c r="F1075" s="50"/>
      <c r="G1075" s="91"/>
      <c r="H1075" s="91"/>
      <c r="I1075" s="91"/>
      <c r="J1075" s="239"/>
      <c r="K1075" s="239"/>
      <c r="L1075" s="239"/>
      <c r="M1075" s="239"/>
      <c r="N1075" s="239"/>
      <c r="O1075" s="239"/>
      <c r="P1075" s="239"/>
      <c r="Q1075" s="239"/>
      <c r="R1075" s="239"/>
      <c r="S1075" s="239"/>
      <c r="T1075" s="239"/>
    </row>
    <row r="1076" spans="1:20" s="82" customFormat="1" x14ac:dyDescent="0.25">
      <c r="A1076" s="19"/>
      <c r="B1076" s="187"/>
      <c r="C1076" s="50"/>
      <c r="D1076" s="50"/>
      <c r="E1076" s="50"/>
      <c r="F1076" s="50"/>
      <c r="G1076" s="91"/>
      <c r="H1076" s="91"/>
      <c r="I1076" s="91"/>
      <c r="J1076" s="239"/>
      <c r="K1076" s="239"/>
      <c r="L1076" s="239"/>
      <c r="M1076" s="239"/>
      <c r="N1076" s="239"/>
      <c r="O1076" s="239"/>
      <c r="P1076" s="239"/>
      <c r="Q1076" s="239"/>
      <c r="R1076" s="239"/>
      <c r="S1076" s="239"/>
      <c r="T1076" s="239"/>
    </row>
    <row r="1077" spans="1:20" s="82" customFormat="1" x14ac:dyDescent="0.25">
      <c r="A1077" s="19"/>
      <c r="B1077" s="187"/>
      <c r="C1077" s="50"/>
      <c r="D1077" s="50"/>
      <c r="E1077" s="50"/>
      <c r="F1077" s="50"/>
      <c r="G1077" s="91"/>
      <c r="H1077" s="91"/>
      <c r="I1077" s="91"/>
      <c r="J1077" s="239"/>
      <c r="K1077" s="239"/>
      <c r="L1077" s="239"/>
      <c r="M1077" s="239"/>
      <c r="N1077" s="239"/>
      <c r="O1077" s="239"/>
      <c r="P1077" s="239"/>
      <c r="Q1077" s="239"/>
      <c r="R1077" s="239"/>
      <c r="S1077" s="239"/>
      <c r="T1077" s="239"/>
    </row>
    <row r="1078" spans="1:20" s="82" customFormat="1" x14ac:dyDescent="0.25">
      <c r="A1078" s="19"/>
      <c r="B1078" s="187"/>
      <c r="C1078" s="50"/>
      <c r="D1078" s="50"/>
      <c r="E1078" s="50"/>
      <c r="F1078" s="51"/>
      <c r="G1078" s="92"/>
      <c r="H1078" s="92"/>
      <c r="I1078" s="92"/>
      <c r="J1078" s="239"/>
      <c r="K1078" s="239"/>
      <c r="L1078" s="239"/>
      <c r="M1078" s="239"/>
      <c r="N1078" s="239"/>
      <c r="O1078" s="239"/>
      <c r="P1078" s="239"/>
      <c r="Q1078" s="239"/>
      <c r="R1078" s="239"/>
      <c r="S1078" s="239"/>
      <c r="T1078" s="239"/>
    </row>
    <row r="1079" spans="1:20" s="82" customFormat="1" x14ac:dyDescent="0.25">
      <c r="A1079" s="19"/>
      <c r="B1079" s="187"/>
      <c r="C1079" s="50"/>
      <c r="D1079" s="50"/>
      <c r="E1079" s="50"/>
      <c r="F1079" s="50"/>
      <c r="G1079" s="91"/>
      <c r="H1079" s="91"/>
      <c r="I1079" s="91"/>
      <c r="J1079" s="239"/>
      <c r="K1079" s="239"/>
      <c r="L1079" s="239"/>
      <c r="M1079" s="239"/>
      <c r="N1079" s="239"/>
      <c r="O1079" s="239"/>
      <c r="P1079" s="239"/>
      <c r="Q1079" s="239"/>
      <c r="R1079" s="239"/>
      <c r="S1079" s="239"/>
      <c r="T1079" s="239"/>
    </row>
    <row r="1080" spans="1:20" s="82" customFormat="1" x14ac:dyDescent="0.25">
      <c r="A1080" s="19"/>
      <c r="B1080" s="187"/>
      <c r="C1080" s="50"/>
      <c r="D1080" s="50"/>
      <c r="E1080" s="50"/>
      <c r="F1080" s="50"/>
      <c r="G1080" s="91"/>
      <c r="H1080" s="91"/>
      <c r="I1080" s="91"/>
      <c r="J1080" s="239"/>
      <c r="K1080" s="239"/>
      <c r="L1080" s="239"/>
      <c r="M1080" s="239"/>
      <c r="N1080" s="239"/>
      <c r="O1080" s="239"/>
      <c r="P1080" s="239"/>
      <c r="Q1080" s="239"/>
      <c r="R1080" s="239"/>
      <c r="S1080" s="239"/>
      <c r="T1080" s="239"/>
    </row>
    <row r="1081" spans="1:20" s="82" customFormat="1" x14ac:dyDescent="0.25">
      <c r="A1081" s="19"/>
      <c r="B1081" s="187"/>
      <c r="C1081" s="50"/>
      <c r="D1081" s="50"/>
      <c r="E1081" s="50"/>
      <c r="F1081" s="50"/>
      <c r="G1081" s="91"/>
      <c r="H1081" s="91"/>
      <c r="I1081" s="91"/>
      <c r="J1081" s="239"/>
      <c r="K1081" s="239"/>
      <c r="L1081" s="239"/>
      <c r="M1081" s="239"/>
      <c r="N1081" s="239"/>
      <c r="O1081" s="239"/>
      <c r="P1081" s="239"/>
      <c r="Q1081" s="239"/>
      <c r="R1081" s="239"/>
      <c r="S1081" s="239"/>
      <c r="T1081" s="239"/>
    </row>
    <row r="1082" spans="1:20" s="82" customFormat="1" x14ac:dyDescent="0.25">
      <c r="A1082" s="19"/>
      <c r="B1082" s="187"/>
      <c r="C1082" s="50"/>
      <c r="D1082" s="50"/>
      <c r="E1082" s="51"/>
      <c r="F1082" s="51"/>
      <c r="G1082" s="92"/>
      <c r="H1082" s="92"/>
      <c r="I1082" s="92"/>
      <c r="J1082" s="239"/>
      <c r="K1082" s="239"/>
      <c r="L1082" s="239"/>
      <c r="M1082" s="239"/>
      <c r="N1082" s="239"/>
      <c r="O1082" s="239"/>
      <c r="P1082" s="239"/>
      <c r="Q1082" s="239"/>
      <c r="R1082" s="239"/>
      <c r="S1082" s="239"/>
      <c r="T1082" s="239"/>
    </row>
    <row r="1083" spans="1:20" s="82" customFormat="1" x14ac:dyDescent="0.25">
      <c r="A1083" s="19"/>
      <c r="B1083" s="187"/>
      <c r="C1083" s="50"/>
      <c r="D1083" s="50"/>
      <c r="E1083" s="50"/>
      <c r="F1083" s="50"/>
      <c r="G1083" s="91"/>
      <c r="H1083" s="91"/>
      <c r="I1083" s="91"/>
      <c r="J1083" s="239"/>
      <c r="K1083" s="239"/>
      <c r="L1083" s="239"/>
      <c r="M1083" s="239"/>
      <c r="N1083" s="239"/>
      <c r="O1083" s="239"/>
      <c r="P1083" s="239"/>
      <c r="Q1083" s="239"/>
      <c r="R1083" s="239"/>
      <c r="S1083" s="239"/>
      <c r="T1083" s="239"/>
    </row>
    <row r="1084" spans="1:20" s="82" customFormat="1" x14ac:dyDescent="0.25">
      <c r="A1084" s="19"/>
      <c r="B1084" s="187"/>
      <c r="C1084" s="50"/>
      <c r="D1084" s="50"/>
      <c r="E1084" s="50"/>
      <c r="F1084" s="50"/>
      <c r="G1084" s="91"/>
      <c r="H1084" s="91"/>
      <c r="I1084" s="91"/>
      <c r="J1084" s="239"/>
      <c r="K1084" s="239"/>
      <c r="L1084" s="239"/>
      <c r="M1084" s="239"/>
      <c r="N1084" s="239"/>
      <c r="O1084" s="239"/>
      <c r="P1084" s="239"/>
      <c r="Q1084" s="239"/>
      <c r="R1084" s="239"/>
      <c r="S1084" s="239"/>
      <c r="T1084" s="239"/>
    </row>
    <row r="1085" spans="1:20" s="82" customFormat="1" x14ac:dyDescent="0.25">
      <c r="A1085" s="19"/>
      <c r="B1085" s="187"/>
      <c r="C1085" s="50"/>
      <c r="D1085" s="50"/>
      <c r="E1085" s="50"/>
      <c r="F1085" s="50"/>
      <c r="G1085" s="91"/>
      <c r="H1085" s="91"/>
      <c r="I1085" s="91"/>
      <c r="J1085" s="239"/>
      <c r="K1085" s="239"/>
      <c r="L1085" s="239"/>
      <c r="M1085" s="239"/>
      <c r="N1085" s="239"/>
      <c r="O1085" s="239"/>
      <c r="P1085" s="239"/>
      <c r="Q1085" s="239"/>
      <c r="R1085" s="239"/>
      <c r="S1085" s="239"/>
      <c r="T1085" s="239"/>
    </row>
    <row r="1086" spans="1:20" s="82" customFormat="1" x14ac:dyDescent="0.25">
      <c r="A1086" s="19"/>
      <c r="B1086" s="187"/>
      <c r="C1086" s="50"/>
      <c r="D1086" s="50"/>
      <c r="E1086" s="50"/>
      <c r="F1086" s="50"/>
      <c r="G1086" s="95"/>
      <c r="H1086" s="95"/>
      <c r="I1086" s="95"/>
      <c r="J1086" s="239"/>
      <c r="K1086" s="239"/>
      <c r="L1086" s="239"/>
      <c r="M1086" s="239"/>
      <c r="N1086" s="239"/>
      <c r="O1086" s="239"/>
      <c r="P1086" s="239"/>
      <c r="Q1086" s="239"/>
      <c r="R1086" s="239"/>
      <c r="S1086" s="239"/>
      <c r="T1086" s="239"/>
    </row>
    <row r="1087" spans="1:20" s="82" customFormat="1" x14ac:dyDescent="0.25">
      <c r="A1087" s="19"/>
      <c r="B1087" s="187"/>
      <c r="C1087" s="50"/>
      <c r="D1087" s="50"/>
      <c r="E1087" s="50"/>
      <c r="F1087" s="50"/>
      <c r="G1087" s="95"/>
      <c r="H1087" s="95"/>
      <c r="I1087" s="95"/>
      <c r="J1087" s="239"/>
      <c r="K1087" s="239"/>
      <c r="L1087" s="239"/>
      <c r="M1087" s="239"/>
      <c r="N1087" s="239"/>
      <c r="O1087" s="239"/>
      <c r="P1087" s="239"/>
      <c r="Q1087" s="239"/>
      <c r="R1087" s="239"/>
      <c r="S1087" s="239"/>
      <c r="T1087" s="239"/>
    </row>
    <row r="1088" spans="1:20" s="82" customFormat="1" x14ac:dyDescent="0.25">
      <c r="A1088" s="19"/>
      <c r="B1088" s="187"/>
      <c r="C1088" s="50"/>
      <c r="D1088" s="50"/>
      <c r="E1088" s="50"/>
      <c r="F1088" s="50"/>
      <c r="G1088" s="95"/>
      <c r="H1088" s="95"/>
      <c r="I1088" s="95"/>
      <c r="J1088" s="239"/>
      <c r="K1088" s="239"/>
      <c r="L1088" s="239"/>
      <c r="M1088" s="239"/>
      <c r="N1088" s="239"/>
      <c r="O1088" s="239"/>
      <c r="P1088" s="239"/>
      <c r="Q1088" s="239"/>
      <c r="R1088" s="239"/>
      <c r="S1088" s="239"/>
      <c r="T1088" s="239"/>
    </row>
    <row r="1089" spans="1:20" s="82" customFormat="1" x14ac:dyDescent="0.25">
      <c r="A1089" s="19"/>
      <c r="B1089" s="187"/>
      <c r="C1089" s="50"/>
      <c r="D1089" s="50"/>
      <c r="E1089" s="50"/>
      <c r="F1089" s="50"/>
      <c r="G1089" s="95"/>
      <c r="H1089" s="95"/>
      <c r="I1089" s="95"/>
      <c r="J1089" s="239"/>
      <c r="K1089" s="239"/>
      <c r="L1089" s="239"/>
      <c r="M1089" s="239"/>
      <c r="N1089" s="239"/>
      <c r="O1089" s="239"/>
      <c r="P1089" s="239"/>
      <c r="Q1089" s="239"/>
      <c r="R1089" s="239"/>
      <c r="S1089" s="239"/>
      <c r="T1089" s="239"/>
    </row>
    <row r="1090" spans="1:20" s="82" customFormat="1" x14ac:dyDescent="0.25">
      <c r="A1090" s="19"/>
      <c r="B1090" s="187"/>
      <c r="C1090" s="50"/>
      <c r="D1090" s="50"/>
      <c r="E1090" s="50"/>
      <c r="F1090" s="50"/>
      <c r="G1090" s="95"/>
      <c r="H1090" s="95"/>
      <c r="I1090" s="95"/>
      <c r="J1090" s="239"/>
      <c r="K1090" s="239"/>
      <c r="L1090" s="239"/>
      <c r="M1090" s="239"/>
      <c r="N1090" s="239"/>
      <c r="O1090" s="239"/>
      <c r="P1090" s="239"/>
      <c r="Q1090" s="239"/>
      <c r="R1090" s="239"/>
      <c r="S1090" s="239"/>
      <c r="T1090" s="239"/>
    </row>
    <row r="1091" spans="1:20" s="82" customFormat="1" x14ac:dyDescent="0.25">
      <c r="A1091" s="19"/>
      <c r="B1091" s="187"/>
      <c r="C1091" s="50"/>
      <c r="D1091" s="50"/>
      <c r="E1091" s="50"/>
      <c r="F1091" s="50"/>
      <c r="G1091" s="95"/>
      <c r="H1091" s="95"/>
      <c r="I1091" s="95"/>
      <c r="J1091" s="239"/>
      <c r="K1091" s="239"/>
      <c r="L1091" s="239"/>
      <c r="M1091" s="239"/>
      <c r="N1091" s="239"/>
      <c r="O1091" s="239"/>
      <c r="P1091" s="239"/>
      <c r="Q1091" s="239"/>
      <c r="R1091" s="239"/>
      <c r="S1091" s="239"/>
      <c r="T1091" s="239"/>
    </row>
    <row r="1092" spans="1:20" s="82" customFormat="1" x14ac:dyDescent="0.25">
      <c r="A1092" s="19"/>
      <c r="B1092" s="187"/>
      <c r="C1092" s="50"/>
      <c r="D1092" s="50"/>
      <c r="E1092" s="50"/>
      <c r="F1092" s="50"/>
      <c r="G1092" s="95"/>
      <c r="H1092" s="95"/>
      <c r="I1092" s="95"/>
      <c r="J1092" s="239"/>
      <c r="K1092" s="239"/>
      <c r="L1092" s="239"/>
      <c r="M1092" s="239"/>
      <c r="N1092" s="239"/>
      <c r="O1092" s="239"/>
      <c r="P1092" s="239"/>
      <c r="Q1092" s="239"/>
      <c r="R1092" s="239"/>
      <c r="S1092" s="239"/>
      <c r="T1092" s="239"/>
    </row>
    <row r="1093" spans="1:20" s="82" customFormat="1" x14ac:dyDescent="0.25">
      <c r="A1093" s="19"/>
      <c r="B1093" s="187"/>
      <c r="C1093" s="50"/>
      <c r="D1093" s="50"/>
      <c r="E1093" s="50"/>
      <c r="F1093" s="50"/>
      <c r="G1093" s="95"/>
      <c r="H1093" s="95"/>
      <c r="I1093" s="95"/>
      <c r="J1093" s="239"/>
      <c r="K1093" s="239"/>
      <c r="L1093" s="239"/>
      <c r="M1093" s="239"/>
      <c r="N1093" s="239"/>
      <c r="O1093" s="239"/>
      <c r="P1093" s="239"/>
      <c r="Q1093" s="239"/>
      <c r="R1093" s="239"/>
      <c r="S1093" s="239"/>
      <c r="T1093" s="239"/>
    </row>
    <row r="1094" spans="1:20" s="82" customFormat="1" x14ac:dyDescent="0.25">
      <c r="A1094" s="19"/>
      <c r="B1094" s="187"/>
      <c r="C1094" s="50"/>
      <c r="D1094" s="50"/>
      <c r="E1094" s="50"/>
      <c r="F1094" s="50"/>
      <c r="G1094" s="95"/>
      <c r="H1094" s="95"/>
      <c r="I1094" s="95"/>
      <c r="J1094" s="239"/>
      <c r="K1094" s="239"/>
      <c r="L1094" s="239"/>
      <c r="M1094" s="239"/>
      <c r="N1094" s="239"/>
      <c r="O1094" s="239"/>
      <c r="P1094" s="239"/>
      <c r="Q1094" s="239"/>
      <c r="R1094" s="239"/>
      <c r="S1094" s="239"/>
      <c r="T1094" s="239"/>
    </row>
    <row r="1095" spans="1:20" s="82" customFormat="1" x14ac:dyDescent="0.25">
      <c r="A1095" s="19"/>
      <c r="B1095" s="187"/>
      <c r="C1095" s="50"/>
      <c r="D1095" s="50"/>
      <c r="E1095" s="50"/>
      <c r="F1095" s="50"/>
      <c r="G1095" s="95"/>
      <c r="H1095" s="95"/>
      <c r="I1095" s="95"/>
      <c r="J1095" s="239"/>
      <c r="K1095" s="239"/>
      <c r="L1095" s="239"/>
      <c r="M1095" s="239"/>
      <c r="N1095" s="239"/>
      <c r="O1095" s="239"/>
      <c r="P1095" s="239"/>
      <c r="Q1095" s="239"/>
      <c r="R1095" s="239"/>
      <c r="S1095" s="239"/>
      <c r="T1095" s="239"/>
    </row>
    <row r="1096" spans="1:20" s="82" customFormat="1" x14ac:dyDescent="0.25">
      <c r="A1096" s="19"/>
      <c r="B1096" s="187"/>
      <c r="C1096" s="50"/>
      <c r="D1096" s="50"/>
      <c r="E1096" s="50"/>
      <c r="F1096" s="50"/>
      <c r="G1096" s="95"/>
      <c r="H1096" s="95"/>
      <c r="I1096" s="95"/>
      <c r="J1096" s="239"/>
      <c r="K1096" s="239"/>
      <c r="L1096" s="239"/>
      <c r="M1096" s="239"/>
      <c r="N1096" s="239"/>
      <c r="O1096" s="239"/>
      <c r="P1096" s="239"/>
      <c r="Q1096" s="239"/>
      <c r="R1096" s="239"/>
      <c r="S1096" s="239"/>
      <c r="T1096" s="239"/>
    </row>
    <row r="1097" spans="1:20" s="82" customFormat="1" x14ac:dyDescent="0.25">
      <c r="A1097" s="19"/>
      <c r="B1097" s="187"/>
      <c r="C1097" s="50"/>
      <c r="D1097" s="50"/>
      <c r="E1097" s="50"/>
      <c r="F1097" s="50"/>
      <c r="G1097" s="95"/>
      <c r="H1097" s="95"/>
      <c r="I1097" s="95"/>
      <c r="J1097" s="239"/>
      <c r="K1097" s="239"/>
      <c r="L1097" s="239"/>
      <c r="M1097" s="239"/>
      <c r="N1097" s="239"/>
      <c r="O1097" s="239"/>
      <c r="P1097" s="239"/>
      <c r="Q1097" s="239"/>
      <c r="R1097" s="239"/>
      <c r="S1097" s="239"/>
      <c r="T1097" s="239"/>
    </row>
    <row r="1098" spans="1:20" s="82" customFormat="1" x14ac:dyDescent="0.25">
      <c r="A1098" s="19"/>
      <c r="B1098" s="187"/>
      <c r="C1098" s="50"/>
      <c r="D1098" s="50"/>
      <c r="E1098" s="50"/>
      <c r="F1098" s="50"/>
      <c r="G1098" s="95"/>
      <c r="H1098" s="95"/>
      <c r="I1098" s="95"/>
      <c r="J1098" s="239"/>
      <c r="K1098" s="239"/>
      <c r="L1098" s="239"/>
      <c r="M1098" s="239"/>
      <c r="N1098" s="239"/>
      <c r="O1098" s="239"/>
      <c r="P1098" s="239"/>
      <c r="Q1098" s="239"/>
      <c r="R1098" s="239"/>
      <c r="S1098" s="239"/>
      <c r="T1098" s="239"/>
    </row>
    <row r="1099" spans="1:20" s="82" customFormat="1" x14ac:dyDescent="0.25">
      <c r="A1099" s="19"/>
      <c r="B1099" s="187"/>
      <c r="C1099" s="50"/>
      <c r="D1099" s="50"/>
      <c r="E1099" s="50"/>
      <c r="F1099" s="50"/>
      <c r="G1099" s="95"/>
      <c r="H1099" s="95"/>
      <c r="I1099" s="95"/>
      <c r="J1099" s="239"/>
      <c r="K1099" s="239"/>
      <c r="L1099" s="239"/>
      <c r="M1099" s="239"/>
      <c r="N1099" s="239"/>
      <c r="O1099" s="239"/>
      <c r="P1099" s="239"/>
      <c r="Q1099" s="239"/>
      <c r="R1099" s="239"/>
      <c r="S1099" s="239"/>
      <c r="T1099" s="239"/>
    </row>
    <row r="1100" spans="1:20" s="82" customFormat="1" x14ac:dyDescent="0.25">
      <c r="A1100" s="19"/>
      <c r="B1100" s="187"/>
      <c r="C1100" s="50"/>
      <c r="D1100" s="50"/>
      <c r="E1100" s="50"/>
      <c r="F1100" s="50"/>
      <c r="G1100" s="95"/>
      <c r="H1100" s="95"/>
      <c r="I1100" s="95"/>
      <c r="J1100" s="239"/>
      <c r="K1100" s="239"/>
      <c r="L1100" s="239"/>
      <c r="M1100" s="239"/>
      <c r="N1100" s="239"/>
      <c r="O1100" s="239"/>
      <c r="P1100" s="239"/>
      <c r="Q1100" s="239"/>
      <c r="R1100" s="239"/>
      <c r="S1100" s="239"/>
      <c r="T1100" s="239"/>
    </row>
    <row r="1101" spans="1:20" s="82" customFormat="1" x14ac:dyDescent="0.25">
      <c r="A1101" s="19"/>
      <c r="B1101" s="187"/>
      <c r="C1101" s="50"/>
      <c r="D1101" s="50"/>
      <c r="E1101" s="50"/>
      <c r="F1101" s="50"/>
      <c r="G1101" s="95"/>
      <c r="H1101" s="95"/>
      <c r="I1101" s="95"/>
      <c r="J1101" s="239"/>
      <c r="K1101" s="239"/>
      <c r="L1101" s="239"/>
      <c r="M1101" s="239"/>
      <c r="N1101" s="239"/>
      <c r="O1101" s="239"/>
      <c r="P1101" s="239"/>
      <c r="Q1101" s="239"/>
      <c r="R1101" s="239"/>
      <c r="S1101" s="239"/>
      <c r="T1101" s="239"/>
    </row>
    <row r="1102" spans="1:20" s="82" customFormat="1" x14ac:dyDescent="0.25">
      <c r="A1102" s="19"/>
      <c r="B1102" s="187"/>
      <c r="C1102" s="50"/>
      <c r="D1102" s="50"/>
      <c r="E1102" s="50"/>
      <c r="F1102" s="50"/>
      <c r="G1102" s="95"/>
      <c r="H1102" s="95"/>
      <c r="I1102" s="95"/>
      <c r="J1102" s="239"/>
      <c r="K1102" s="239"/>
      <c r="L1102" s="239"/>
      <c r="M1102" s="239"/>
      <c r="N1102" s="239"/>
      <c r="O1102" s="239"/>
      <c r="P1102" s="239"/>
      <c r="Q1102" s="239"/>
      <c r="R1102" s="239"/>
      <c r="S1102" s="239"/>
      <c r="T1102" s="239"/>
    </row>
    <row r="1103" spans="1:20" s="82" customFormat="1" x14ac:dyDescent="0.25">
      <c r="A1103" s="19"/>
      <c r="B1103" s="187"/>
      <c r="C1103" s="50"/>
      <c r="D1103" s="50"/>
      <c r="E1103" s="50"/>
      <c r="F1103" s="50"/>
      <c r="G1103" s="95"/>
      <c r="H1103" s="95"/>
      <c r="I1103" s="95"/>
      <c r="J1103" s="239"/>
      <c r="K1103" s="239"/>
      <c r="L1103" s="239"/>
      <c r="M1103" s="239"/>
      <c r="N1103" s="239"/>
      <c r="O1103" s="239"/>
      <c r="P1103" s="239"/>
      <c r="Q1103" s="239"/>
      <c r="R1103" s="239"/>
      <c r="S1103" s="239"/>
      <c r="T1103" s="239"/>
    </row>
    <row r="1104" spans="1:20" s="82" customFormat="1" x14ac:dyDescent="0.25">
      <c r="A1104" s="19"/>
      <c r="B1104" s="187"/>
      <c r="C1104" s="50"/>
      <c r="D1104" s="50"/>
      <c r="E1104" s="50"/>
      <c r="F1104" s="50"/>
      <c r="G1104" s="95"/>
      <c r="H1104" s="95"/>
      <c r="I1104" s="95"/>
      <c r="J1104" s="239"/>
      <c r="K1104" s="239"/>
      <c r="L1104" s="239"/>
      <c r="M1104" s="239"/>
      <c r="N1104" s="239"/>
      <c r="O1104" s="239"/>
      <c r="P1104" s="239"/>
      <c r="Q1104" s="239"/>
      <c r="R1104" s="239"/>
      <c r="S1104" s="239"/>
      <c r="T1104" s="239"/>
    </row>
    <row r="1105" spans="1:20" s="82" customFormat="1" x14ac:dyDescent="0.25">
      <c r="A1105" s="19"/>
      <c r="B1105" s="187"/>
      <c r="C1105" s="50"/>
      <c r="D1105" s="50"/>
      <c r="E1105" s="50"/>
      <c r="F1105" s="50"/>
      <c r="G1105" s="95"/>
      <c r="H1105" s="95"/>
      <c r="I1105" s="95"/>
      <c r="J1105" s="239"/>
      <c r="K1105" s="239"/>
      <c r="L1105" s="239"/>
      <c r="M1105" s="239"/>
      <c r="N1105" s="239"/>
      <c r="O1105" s="239"/>
      <c r="P1105" s="239"/>
      <c r="Q1105" s="239"/>
      <c r="R1105" s="239"/>
      <c r="S1105" s="239"/>
      <c r="T1105" s="239"/>
    </row>
    <row r="1106" spans="1:20" s="82" customFormat="1" x14ac:dyDescent="0.25">
      <c r="A1106" s="19"/>
      <c r="B1106" s="187"/>
      <c r="C1106" s="50"/>
      <c r="D1106" s="50"/>
      <c r="E1106" s="50"/>
      <c r="F1106" s="50"/>
      <c r="G1106" s="95"/>
      <c r="H1106" s="95"/>
      <c r="I1106" s="95"/>
      <c r="J1106" s="239"/>
      <c r="K1106" s="239"/>
      <c r="L1106" s="239"/>
      <c r="M1106" s="239"/>
      <c r="N1106" s="239"/>
      <c r="O1106" s="239"/>
      <c r="P1106" s="239"/>
      <c r="Q1106" s="239"/>
      <c r="R1106" s="239"/>
      <c r="S1106" s="239"/>
      <c r="T1106" s="239"/>
    </row>
    <row r="1107" spans="1:20" s="82" customFormat="1" x14ac:dyDescent="0.25">
      <c r="A1107" s="19"/>
      <c r="B1107" s="187"/>
      <c r="C1107" s="50"/>
      <c r="D1107" s="50"/>
      <c r="E1107" s="50"/>
      <c r="F1107" s="50"/>
      <c r="G1107" s="95"/>
      <c r="H1107" s="95"/>
      <c r="I1107" s="95"/>
      <c r="J1107" s="239"/>
      <c r="K1107" s="239"/>
      <c r="L1107" s="239"/>
      <c r="M1107" s="239"/>
      <c r="N1107" s="239"/>
      <c r="O1107" s="239"/>
      <c r="P1107" s="239"/>
      <c r="Q1107" s="239"/>
      <c r="R1107" s="239"/>
      <c r="S1107" s="239"/>
      <c r="T1107" s="239"/>
    </row>
    <row r="1108" spans="1:20" s="82" customFormat="1" x14ac:dyDescent="0.25">
      <c r="A1108" s="19"/>
      <c r="B1108" s="187"/>
      <c r="C1108" s="50"/>
      <c r="D1108" s="50"/>
      <c r="E1108" s="50"/>
      <c r="F1108" s="50"/>
      <c r="G1108" s="95"/>
      <c r="H1108" s="95"/>
      <c r="I1108" s="95"/>
      <c r="J1108" s="239"/>
      <c r="K1108" s="239"/>
      <c r="L1108" s="239"/>
      <c r="M1108" s="239"/>
      <c r="N1108" s="239"/>
      <c r="O1108" s="239"/>
      <c r="P1108" s="239"/>
      <c r="Q1108" s="239"/>
      <c r="R1108" s="239"/>
      <c r="S1108" s="239"/>
      <c r="T1108" s="239"/>
    </row>
    <row r="1109" spans="1:20" s="82" customFormat="1" x14ac:dyDescent="0.25">
      <c r="A1109" s="19"/>
      <c r="B1109" s="187"/>
      <c r="C1109" s="50"/>
      <c r="D1109" s="50"/>
      <c r="E1109" s="50"/>
      <c r="F1109" s="50"/>
      <c r="G1109" s="95"/>
      <c r="H1109" s="95"/>
      <c r="I1109" s="95"/>
      <c r="J1109" s="239"/>
      <c r="K1109" s="239"/>
      <c r="L1109" s="239"/>
      <c r="M1109" s="239"/>
      <c r="N1109" s="239"/>
      <c r="O1109" s="239"/>
      <c r="P1109" s="239"/>
      <c r="Q1109" s="239"/>
      <c r="R1109" s="239"/>
      <c r="S1109" s="239"/>
      <c r="T1109" s="239"/>
    </row>
    <row r="1110" spans="1:20" s="82" customFormat="1" x14ac:dyDescent="0.25">
      <c r="A1110" s="19"/>
      <c r="B1110" s="187"/>
      <c r="C1110" s="50"/>
      <c r="D1110" s="50"/>
      <c r="E1110" s="50"/>
      <c r="F1110" s="50"/>
      <c r="G1110" s="95"/>
      <c r="H1110" s="95"/>
      <c r="I1110" s="95"/>
      <c r="J1110" s="239"/>
      <c r="K1110" s="239"/>
      <c r="L1110" s="239"/>
      <c r="M1110" s="239"/>
      <c r="N1110" s="239"/>
      <c r="O1110" s="239"/>
      <c r="P1110" s="239"/>
      <c r="Q1110" s="239"/>
      <c r="R1110" s="239"/>
      <c r="S1110" s="239"/>
      <c r="T1110" s="239"/>
    </row>
    <row r="1111" spans="1:20" s="82" customFormat="1" x14ac:dyDescent="0.25">
      <c r="A1111" s="19"/>
      <c r="B1111" s="187"/>
      <c r="C1111" s="50"/>
      <c r="D1111" s="50"/>
      <c r="E1111" s="50"/>
      <c r="F1111" s="50"/>
      <c r="G1111" s="95"/>
      <c r="H1111" s="95"/>
      <c r="I1111" s="95"/>
      <c r="J1111" s="239"/>
      <c r="K1111" s="239"/>
      <c r="L1111" s="239"/>
      <c r="M1111" s="239"/>
      <c r="N1111" s="239"/>
      <c r="O1111" s="239"/>
      <c r="P1111" s="239"/>
      <c r="Q1111" s="239"/>
      <c r="R1111" s="239"/>
      <c r="S1111" s="239"/>
      <c r="T1111" s="239"/>
    </row>
    <row r="1112" spans="1:20" s="82" customFormat="1" x14ac:dyDescent="0.25">
      <c r="A1112" s="19"/>
      <c r="B1112" s="187"/>
      <c r="C1112" s="50"/>
      <c r="D1112" s="50"/>
      <c r="E1112" s="50"/>
      <c r="F1112" s="50"/>
      <c r="G1112" s="95"/>
      <c r="H1112" s="95"/>
      <c r="I1112" s="95"/>
      <c r="J1112" s="239"/>
      <c r="K1112" s="239"/>
      <c r="L1112" s="239"/>
      <c r="M1112" s="239"/>
      <c r="N1112" s="239"/>
      <c r="O1112" s="239"/>
      <c r="P1112" s="239"/>
      <c r="Q1112" s="239"/>
      <c r="R1112" s="239"/>
      <c r="S1112" s="239"/>
      <c r="T1112" s="239"/>
    </row>
    <row r="1113" spans="1:20" s="82" customFormat="1" x14ac:dyDescent="0.25">
      <c r="A1113" s="19"/>
      <c r="B1113" s="187"/>
      <c r="C1113" s="50"/>
      <c r="D1113" s="50"/>
      <c r="E1113" s="50"/>
      <c r="F1113" s="50"/>
      <c r="G1113" s="95"/>
      <c r="H1113" s="95"/>
      <c r="I1113" s="95"/>
      <c r="J1113" s="239"/>
      <c r="K1113" s="239"/>
      <c r="L1113" s="239"/>
      <c r="M1113" s="239"/>
      <c r="N1113" s="239"/>
      <c r="O1113" s="239"/>
      <c r="P1113" s="239"/>
      <c r="Q1113" s="239"/>
      <c r="R1113" s="239"/>
      <c r="S1113" s="239"/>
      <c r="T1113" s="239"/>
    </row>
    <row r="1114" spans="1:20" s="82" customFormat="1" x14ac:dyDescent="0.25">
      <c r="A1114" s="19"/>
      <c r="B1114" s="187"/>
      <c r="C1114" s="50"/>
      <c r="D1114" s="50"/>
      <c r="E1114" s="50"/>
      <c r="F1114" s="50"/>
      <c r="G1114" s="95"/>
      <c r="H1114" s="95"/>
      <c r="I1114" s="95"/>
      <c r="J1114" s="239"/>
      <c r="K1114" s="239"/>
      <c r="L1114" s="239"/>
      <c r="M1114" s="239"/>
      <c r="N1114" s="239"/>
      <c r="O1114" s="239"/>
      <c r="P1114" s="239"/>
      <c r="Q1114" s="239"/>
      <c r="R1114" s="239"/>
      <c r="S1114" s="239"/>
      <c r="T1114" s="239"/>
    </row>
    <row r="1115" spans="1:20" s="82" customFormat="1" x14ac:dyDescent="0.25">
      <c r="A1115" s="19"/>
      <c r="B1115" s="187"/>
      <c r="C1115" s="50"/>
      <c r="D1115" s="50"/>
      <c r="E1115" s="50"/>
      <c r="F1115" s="50"/>
      <c r="G1115" s="95"/>
      <c r="H1115" s="95"/>
      <c r="I1115" s="95"/>
      <c r="J1115" s="239"/>
      <c r="K1115" s="239"/>
      <c r="L1115" s="239"/>
      <c r="M1115" s="239"/>
      <c r="N1115" s="239"/>
      <c r="O1115" s="239"/>
      <c r="P1115" s="239"/>
      <c r="Q1115" s="239"/>
      <c r="R1115" s="239"/>
      <c r="S1115" s="239"/>
      <c r="T1115" s="239"/>
    </row>
    <row r="1116" spans="1:20" s="82" customFormat="1" x14ac:dyDescent="0.25">
      <c r="A1116" s="19"/>
      <c r="B1116" s="187"/>
      <c r="C1116" s="50"/>
      <c r="D1116" s="50"/>
      <c r="E1116" s="50"/>
      <c r="F1116" s="50"/>
      <c r="G1116" s="95"/>
      <c r="H1116" s="95"/>
      <c r="I1116" s="95"/>
      <c r="J1116" s="239"/>
      <c r="K1116" s="239"/>
      <c r="L1116" s="239"/>
      <c r="M1116" s="239"/>
      <c r="N1116" s="239"/>
      <c r="O1116" s="239"/>
      <c r="P1116" s="239"/>
      <c r="Q1116" s="239"/>
      <c r="R1116" s="239"/>
      <c r="S1116" s="239"/>
      <c r="T1116" s="239"/>
    </row>
    <row r="1117" spans="1:20" s="82" customFormat="1" x14ac:dyDescent="0.25">
      <c r="A1117" s="19"/>
      <c r="B1117" s="187"/>
      <c r="C1117" s="50"/>
      <c r="D1117" s="50"/>
      <c r="E1117" s="50"/>
      <c r="F1117" s="50"/>
      <c r="G1117" s="95"/>
      <c r="H1117" s="95"/>
      <c r="I1117" s="95"/>
      <c r="J1117" s="239"/>
      <c r="K1117" s="239"/>
      <c r="L1117" s="239"/>
      <c r="M1117" s="239"/>
      <c r="N1117" s="239"/>
      <c r="O1117" s="239"/>
      <c r="P1117" s="239"/>
      <c r="Q1117" s="239"/>
      <c r="R1117" s="239"/>
      <c r="S1117" s="239"/>
      <c r="T1117" s="239"/>
    </row>
    <row r="1118" spans="1:20" s="82" customFormat="1" x14ac:dyDescent="0.25">
      <c r="A1118" s="19"/>
      <c r="B1118" s="187"/>
      <c r="C1118" s="50"/>
      <c r="D1118" s="50"/>
      <c r="E1118" s="50"/>
      <c r="F1118" s="50"/>
      <c r="G1118" s="95"/>
      <c r="H1118" s="95"/>
      <c r="I1118" s="95"/>
      <c r="J1118" s="239"/>
      <c r="K1118" s="239"/>
      <c r="L1118" s="239"/>
      <c r="M1118" s="239"/>
      <c r="N1118" s="239"/>
      <c r="O1118" s="239"/>
      <c r="P1118" s="239"/>
      <c r="Q1118" s="239"/>
      <c r="R1118" s="239"/>
      <c r="S1118" s="239"/>
      <c r="T1118" s="239"/>
    </row>
    <row r="1119" spans="1:20" s="82" customFormat="1" x14ac:dyDescent="0.25">
      <c r="A1119" s="19"/>
      <c r="B1119" s="187"/>
      <c r="C1119" s="50"/>
      <c r="D1119" s="50"/>
      <c r="E1119" s="50"/>
      <c r="F1119" s="50"/>
      <c r="G1119" s="95"/>
      <c r="H1119" s="95"/>
      <c r="I1119" s="95"/>
      <c r="J1119" s="239"/>
      <c r="K1119" s="239"/>
      <c r="L1119" s="239"/>
      <c r="M1119" s="239"/>
      <c r="N1119" s="239"/>
      <c r="O1119" s="239"/>
      <c r="P1119" s="239"/>
      <c r="Q1119" s="239"/>
      <c r="R1119" s="239"/>
      <c r="S1119" s="239"/>
      <c r="T1119" s="239"/>
    </row>
    <row r="1120" spans="1:20" s="82" customFormat="1" x14ac:dyDescent="0.25">
      <c r="A1120" s="19"/>
      <c r="B1120" s="187"/>
      <c r="C1120" s="50"/>
      <c r="D1120" s="50"/>
      <c r="E1120" s="50"/>
      <c r="F1120" s="50"/>
      <c r="G1120" s="95"/>
      <c r="H1120" s="95"/>
      <c r="I1120" s="95"/>
      <c r="J1120" s="239"/>
      <c r="K1120" s="239"/>
      <c r="L1120" s="239"/>
      <c r="M1120" s="239"/>
      <c r="N1120" s="239"/>
      <c r="O1120" s="239"/>
      <c r="P1120" s="239"/>
      <c r="Q1120" s="239"/>
      <c r="R1120" s="239"/>
      <c r="S1120" s="239"/>
      <c r="T1120" s="239"/>
    </row>
    <row r="1121" spans="1:20" s="82" customFormat="1" x14ac:dyDescent="0.25">
      <c r="A1121" s="19"/>
      <c r="B1121" s="187"/>
      <c r="C1121" s="50"/>
      <c r="D1121" s="50"/>
      <c r="E1121" s="50"/>
      <c r="F1121" s="50"/>
      <c r="G1121" s="95"/>
      <c r="H1121" s="95"/>
      <c r="I1121" s="95"/>
      <c r="J1121" s="239"/>
      <c r="K1121" s="239"/>
      <c r="L1121" s="239"/>
      <c r="M1121" s="239"/>
      <c r="N1121" s="239"/>
      <c r="O1121" s="239"/>
      <c r="P1121" s="239"/>
      <c r="Q1121" s="239"/>
      <c r="R1121" s="239"/>
      <c r="S1121" s="239"/>
      <c r="T1121" s="239"/>
    </row>
    <row r="1122" spans="1:20" s="82" customFormat="1" x14ac:dyDescent="0.25">
      <c r="A1122" s="19"/>
      <c r="B1122" s="187"/>
      <c r="C1122" s="50"/>
      <c r="D1122" s="50"/>
      <c r="E1122" s="50"/>
      <c r="F1122" s="50"/>
      <c r="G1122" s="95"/>
      <c r="H1122" s="95"/>
      <c r="I1122" s="95"/>
      <c r="J1122" s="239"/>
      <c r="K1122" s="239"/>
      <c r="L1122" s="239"/>
      <c r="M1122" s="239"/>
      <c r="N1122" s="239"/>
      <c r="O1122" s="239"/>
      <c r="P1122" s="239"/>
      <c r="Q1122" s="239"/>
      <c r="R1122" s="239"/>
      <c r="S1122" s="239"/>
      <c r="T1122" s="239"/>
    </row>
    <row r="1123" spans="1:20" s="82" customFormat="1" x14ac:dyDescent="0.25">
      <c r="A1123" s="19"/>
      <c r="B1123" s="187"/>
      <c r="C1123" s="50"/>
      <c r="D1123" s="50"/>
      <c r="E1123" s="50"/>
      <c r="F1123" s="50"/>
      <c r="G1123" s="95"/>
      <c r="H1123" s="95"/>
      <c r="I1123" s="95"/>
      <c r="J1123" s="239"/>
      <c r="K1123" s="239"/>
      <c r="L1123" s="239"/>
      <c r="M1123" s="239"/>
      <c r="N1123" s="239"/>
      <c r="O1123" s="239"/>
      <c r="P1123" s="239"/>
      <c r="Q1123" s="239"/>
      <c r="R1123" s="239"/>
      <c r="S1123" s="239"/>
      <c r="T1123" s="239"/>
    </row>
    <row r="1124" spans="1:20" s="82" customFormat="1" x14ac:dyDescent="0.25">
      <c r="A1124" s="20"/>
      <c r="B1124" s="187"/>
      <c r="C1124" s="50"/>
      <c r="D1124" s="50"/>
      <c r="E1124" s="50"/>
      <c r="F1124" s="50"/>
      <c r="G1124" s="95"/>
      <c r="H1124" s="95"/>
      <c r="I1124" s="95"/>
      <c r="J1124" s="239"/>
      <c r="K1124" s="239"/>
      <c r="L1124" s="239"/>
      <c r="M1124" s="239"/>
      <c r="N1124" s="239"/>
      <c r="O1124" s="239"/>
      <c r="P1124" s="239"/>
      <c r="Q1124" s="239"/>
      <c r="R1124" s="239"/>
      <c r="S1124" s="239"/>
      <c r="T1124" s="239"/>
    </row>
    <row r="1125" spans="1:20" s="82" customFormat="1" x14ac:dyDescent="0.25">
      <c r="A1125" s="20"/>
      <c r="B1125" s="187"/>
      <c r="C1125" s="50"/>
      <c r="D1125" s="50"/>
      <c r="E1125" s="50"/>
      <c r="F1125" s="50"/>
      <c r="G1125" s="95"/>
      <c r="H1125" s="95"/>
      <c r="I1125" s="95"/>
      <c r="J1125" s="239"/>
      <c r="K1125" s="239"/>
      <c r="L1125" s="239"/>
      <c r="M1125" s="239"/>
      <c r="N1125" s="239"/>
      <c r="O1125" s="239"/>
      <c r="P1125" s="239"/>
      <c r="Q1125" s="239"/>
      <c r="R1125" s="239"/>
      <c r="S1125" s="239"/>
      <c r="T1125" s="239"/>
    </row>
    <row r="1126" spans="1:20" s="82" customFormat="1" x14ac:dyDescent="0.25">
      <c r="A1126" s="20"/>
      <c r="B1126" s="187"/>
      <c r="C1126" s="50"/>
      <c r="D1126" s="50"/>
      <c r="E1126" s="50"/>
      <c r="F1126" s="50"/>
      <c r="G1126" s="95"/>
      <c r="H1126" s="95"/>
      <c r="I1126" s="95"/>
      <c r="J1126" s="239"/>
      <c r="K1126" s="239"/>
      <c r="L1126" s="239"/>
      <c r="M1126" s="239"/>
      <c r="N1126" s="239"/>
      <c r="O1126" s="239"/>
      <c r="P1126" s="239"/>
      <c r="Q1126" s="239"/>
      <c r="R1126" s="239"/>
      <c r="S1126" s="239"/>
      <c r="T1126" s="239"/>
    </row>
    <row r="1127" spans="1:20" s="82" customFormat="1" x14ac:dyDescent="0.25">
      <c r="A1127" s="20"/>
      <c r="B1127" s="187"/>
      <c r="C1127" s="50"/>
      <c r="D1127" s="50"/>
      <c r="E1127" s="50"/>
      <c r="F1127" s="50"/>
      <c r="G1127" s="95"/>
      <c r="H1127" s="95"/>
      <c r="I1127" s="95"/>
      <c r="J1127" s="239"/>
      <c r="K1127" s="239"/>
      <c r="L1127" s="239"/>
      <c r="M1127" s="239"/>
      <c r="N1127" s="239"/>
      <c r="O1127" s="239"/>
      <c r="P1127" s="239"/>
      <c r="Q1127" s="239"/>
      <c r="R1127" s="239"/>
      <c r="S1127" s="239"/>
      <c r="T1127" s="239"/>
    </row>
    <row r="1128" spans="1:20" s="82" customFormat="1" x14ac:dyDescent="0.25">
      <c r="A1128" s="20"/>
      <c r="B1128" s="187"/>
      <c r="C1128" s="50"/>
      <c r="D1128" s="50"/>
      <c r="E1128" s="50"/>
      <c r="F1128" s="50"/>
      <c r="G1128" s="95"/>
      <c r="H1128" s="95"/>
      <c r="I1128" s="95"/>
      <c r="J1128" s="239"/>
      <c r="K1128" s="239"/>
      <c r="L1128" s="239"/>
      <c r="M1128" s="239"/>
      <c r="N1128" s="239"/>
      <c r="O1128" s="239"/>
      <c r="P1128" s="239"/>
      <c r="Q1128" s="239"/>
      <c r="R1128" s="239"/>
      <c r="S1128" s="239"/>
      <c r="T1128" s="239"/>
    </row>
    <row r="1129" spans="1:20" s="82" customFormat="1" x14ac:dyDescent="0.25">
      <c r="A1129" s="20"/>
      <c r="B1129" s="187"/>
      <c r="C1129" s="50"/>
      <c r="D1129" s="50"/>
      <c r="E1129" s="50"/>
      <c r="F1129" s="50"/>
      <c r="G1129" s="95"/>
      <c r="H1129" s="95"/>
      <c r="I1129" s="95"/>
      <c r="J1129" s="239"/>
      <c r="K1129" s="239"/>
      <c r="L1129" s="239"/>
      <c r="M1129" s="239"/>
      <c r="N1129" s="239"/>
      <c r="O1129" s="239"/>
      <c r="P1129" s="239"/>
      <c r="Q1129" s="239"/>
      <c r="R1129" s="239"/>
      <c r="S1129" s="239"/>
      <c r="T1129" s="239"/>
    </row>
    <row r="1130" spans="1:20" s="82" customFormat="1" x14ac:dyDescent="0.25">
      <c r="A1130" s="20"/>
      <c r="B1130" s="187"/>
      <c r="C1130" s="50"/>
      <c r="D1130" s="50"/>
      <c r="E1130" s="50"/>
      <c r="F1130" s="50"/>
      <c r="G1130" s="95"/>
      <c r="H1130" s="95"/>
      <c r="I1130" s="95"/>
      <c r="J1130" s="239"/>
      <c r="K1130" s="239"/>
      <c r="L1130" s="239"/>
      <c r="M1130" s="239"/>
      <c r="N1130" s="239"/>
      <c r="O1130" s="239"/>
      <c r="P1130" s="239"/>
      <c r="Q1130" s="239"/>
      <c r="R1130" s="239"/>
      <c r="S1130" s="239"/>
      <c r="T1130" s="239"/>
    </row>
    <row r="1131" spans="1:20" s="82" customFormat="1" x14ac:dyDescent="0.25">
      <c r="A1131" s="20"/>
      <c r="B1131" s="187"/>
      <c r="C1131" s="50"/>
      <c r="D1131" s="50"/>
      <c r="E1131" s="50"/>
      <c r="F1131" s="50"/>
      <c r="G1131" s="95"/>
      <c r="H1131" s="95"/>
      <c r="I1131" s="95"/>
      <c r="J1131" s="239"/>
      <c r="K1131" s="239"/>
      <c r="L1131" s="239"/>
      <c r="M1131" s="239"/>
      <c r="N1131" s="239"/>
      <c r="O1131" s="239"/>
      <c r="P1131" s="239"/>
      <c r="Q1131" s="239"/>
      <c r="R1131" s="239"/>
      <c r="S1131" s="239"/>
      <c r="T1131" s="239"/>
    </row>
    <row r="1132" spans="1:20" s="82" customFormat="1" x14ac:dyDescent="0.25">
      <c r="A1132" s="20"/>
      <c r="B1132" s="187"/>
      <c r="C1132" s="50"/>
      <c r="D1132" s="50"/>
      <c r="E1132" s="50"/>
      <c r="F1132" s="50"/>
      <c r="G1132" s="95"/>
      <c r="H1132" s="95"/>
      <c r="I1132" s="95"/>
      <c r="J1132" s="239"/>
      <c r="K1132" s="239"/>
      <c r="L1132" s="239"/>
      <c r="M1132" s="239"/>
      <c r="N1132" s="239"/>
      <c r="O1132" s="239"/>
      <c r="P1132" s="239"/>
      <c r="Q1132" s="239"/>
      <c r="R1132" s="239"/>
      <c r="S1132" s="239"/>
      <c r="T1132" s="239"/>
    </row>
    <row r="1133" spans="1:20" s="82" customFormat="1" x14ac:dyDescent="0.25">
      <c r="A1133" s="20"/>
      <c r="B1133" s="187"/>
      <c r="C1133" s="50"/>
      <c r="D1133" s="50"/>
      <c r="E1133" s="50"/>
      <c r="F1133" s="50"/>
      <c r="G1133" s="95"/>
      <c r="H1133" s="95"/>
      <c r="I1133" s="95"/>
      <c r="J1133" s="239"/>
      <c r="K1133" s="239"/>
      <c r="L1133" s="239"/>
      <c r="M1133" s="239"/>
      <c r="N1133" s="239"/>
      <c r="O1133" s="239"/>
      <c r="P1133" s="239"/>
      <c r="Q1133" s="239"/>
      <c r="R1133" s="239"/>
      <c r="S1133" s="239"/>
      <c r="T1133" s="239"/>
    </row>
    <row r="1134" spans="1:20" s="82" customFormat="1" x14ac:dyDescent="0.25">
      <c r="A1134" s="20"/>
      <c r="B1134" s="187"/>
      <c r="C1134" s="50"/>
      <c r="D1134" s="50"/>
      <c r="E1134" s="50"/>
      <c r="F1134" s="50"/>
      <c r="G1134" s="95"/>
      <c r="H1134" s="95"/>
      <c r="I1134" s="95"/>
      <c r="J1134" s="239"/>
      <c r="K1134" s="239"/>
      <c r="L1134" s="239"/>
      <c r="M1134" s="239"/>
      <c r="N1134" s="239"/>
      <c r="O1134" s="239"/>
      <c r="P1134" s="239"/>
      <c r="Q1134" s="239"/>
      <c r="R1134" s="239"/>
      <c r="S1134" s="239"/>
      <c r="T1134" s="239"/>
    </row>
    <row r="1135" spans="1:20" s="82" customFormat="1" x14ac:dyDescent="0.25">
      <c r="A1135" s="20"/>
      <c r="B1135" s="187"/>
      <c r="C1135" s="50"/>
      <c r="D1135" s="50"/>
      <c r="E1135" s="50"/>
      <c r="F1135" s="50"/>
      <c r="G1135" s="95"/>
      <c r="H1135" s="95"/>
      <c r="I1135" s="95"/>
      <c r="J1135" s="239"/>
      <c r="K1135" s="239"/>
      <c r="L1135" s="239"/>
      <c r="M1135" s="239"/>
      <c r="N1135" s="239"/>
      <c r="O1135" s="239"/>
      <c r="P1135" s="239"/>
      <c r="Q1135" s="239"/>
      <c r="R1135" s="239"/>
      <c r="S1135" s="239"/>
      <c r="T1135" s="239"/>
    </row>
    <row r="1136" spans="1:20" s="82" customFormat="1" x14ac:dyDescent="0.25">
      <c r="A1136" s="20"/>
      <c r="B1136" s="187"/>
      <c r="C1136" s="50"/>
      <c r="D1136" s="50"/>
      <c r="E1136" s="50"/>
      <c r="F1136" s="50"/>
      <c r="G1136" s="95"/>
      <c r="H1136" s="95"/>
      <c r="I1136" s="95"/>
      <c r="J1136" s="239"/>
      <c r="K1136" s="239"/>
      <c r="L1136" s="239"/>
      <c r="M1136" s="239"/>
      <c r="N1136" s="239"/>
      <c r="O1136" s="239"/>
      <c r="P1136" s="239"/>
      <c r="Q1136" s="239"/>
      <c r="R1136" s="239"/>
      <c r="S1136" s="239"/>
      <c r="T1136" s="239"/>
    </row>
    <row r="1137" spans="1:20" s="82" customFormat="1" x14ac:dyDescent="0.25">
      <c r="A1137" s="20"/>
      <c r="B1137" s="187"/>
      <c r="C1137" s="50"/>
      <c r="D1137" s="50"/>
      <c r="E1137" s="50"/>
      <c r="F1137" s="50"/>
      <c r="G1137" s="95"/>
      <c r="H1137" s="95"/>
      <c r="I1137" s="95"/>
      <c r="J1137" s="239"/>
      <c r="K1137" s="239"/>
      <c r="L1137" s="239"/>
      <c r="M1137" s="239"/>
      <c r="N1137" s="239"/>
      <c r="O1137" s="239"/>
      <c r="P1137" s="239"/>
      <c r="Q1137" s="239"/>
      <c r="R1137" s="239"/>
      <c r="S1137" s="239"/>
      <c r="T1137" s="239"/>
    </row>
    <row r="1138" spans="1:20" s="82" customFormat="1" x14ac:dyDescent="0.25">
      <c r="A1138" s="20"/>
      <c r="B1138" s="187"/>
      <c r="C1138" s="50"/>
      <c r="D1138" s="50"/>
      <c r="E1138" s="50"/>
      <c r="F1138" s="50"/>
      <c r="G1138" s="95"/>
      <c r="H1138" s="95"/>
      <c r="I1138" s="95"/>
      <c r="J1138" s="239"/>
      <c r="K1138" s="239"/>
      <c r="L1138" s="239"/>
      <c r="M1138" s="239"/>
      <c r="N1138" s="239"/>
      <c r="O1138" s="239"/>
      <c r="P1138" s="239"/>
      <c r="Q1138" s="239"/>
      <c r="R1138" s="239"/>
      <c r="S1138" s="239"/>
      <c r="T1138" s="239"/>
    </row>
    <row r="1139" spans="1:20" s="82" customFormat="1" x14ac:dyDescent="0.25">
      <c r="A1139" s="20"/>
      <c r="B1139" s="187"/>
      <c r="C1139" s="50"/>
      <c r="D1139" s="50"/>
      <c r="E1139" s="50"/>
      <c r="F1139" s="50"/>
      <c r="G1139" s="95"/>
      <c r="H1139" s="95"/>
      <c r="I1139" s="95"/>
      <c r="J1139" s="239"/>
      <c r="K1139" s="239"/>
      <c r="L1139" s="239"/>
      <c r="M1139" s="239"/>
      <c r="N1139" s="239"/>
      <c r="O1139" s="239"/>
      <c r="P1139" s="239"/>
      <c r="Q1139" s="239"/>
      <c r="R1139" s="239"/>
      <c r="S1139" s="239"/>
      <c r="T1139" s="239"/>
    </row>
    <row r="1140" spans="1:20" s="82" customFormat="1" x14ac:dyDescent="0.25">
      <c r="A1140" s="20"/>
      <c r="B1140" s="187"/>
      <c r="C1140" s="50"/>
      <c r="D1140" s="50"/>
      <c r="E1140" s="50"/>
      <c r="F1140" s="50"/>
      <c r="G1140" s="95"/>
      <c r="H1140" s="95"/>
      <c r="I1140" s="95"/>
      <c r="J1140" s="239"/>
      <c r="K1140" s="239"/>
      <c r="L1140" s="239"/>
      <c r="M1140" s="239"/>
      <c r="N1140" s="239"/>
      <c r="O1140" s="239"/>
      <c r="P1140" s="239"/>
      <c r="Q1140" s="239"/>
      <c r="R1140" s="239"/>
      <c r="S1140" s="239"/>
      <c r="T1140" s="239"/>
    </row>
    <row r="1141" spans="1:20" s="82" customFormat="1" x14ac:dyDescent="0.25">
      <c r="A1141" s="20"/>
      <c r="B1141" s="187"/>
      <c r="C1141" s="50"/>
      <c r="D1141" s="50"/>
      <c r="E1141" s="50"/>
      <c r="F1141" s="50"/>
      <c r="G1141" s="95"/>
      <c r="H1141" s="95"/>
      <c r="I1141" s="95"/>
      <c r="J1141" s="239"/>
      <c r="K1141" s="239"/>
      <c r="L1141" s="239"/>
      <c r="M1141" s="239"/>
      <c r="N1141" s="239"/>
      <c r="O1141" s="239"/>
      <c r="P1141" s="239"/>
      <c r="Q1141" s="239"/>
      <c r="R1141" s="239"/>
      <c r="S1141" s="239"/>
      <c r="T1141" s="239"/>
    </row>
    <row r="1142" spans="1:20" s="82" customFormat="1" x14ac:dyDescent="0.25">
      <c r="A1142" s="20"/>
      <c r="B1142" s="187"/>
      <c r="C1142" s="50"/>
      <c r="D1142" s="50"/>
      <c r="E1142" s="50"/>
      <c r="F1142" s="50"/>
      <c r="G1142" s="95"/>
      <c r="H1142" s="95"/>
      <c r="I1142" s="95"/>
      <c r="J1142" s="239"/>
      <c r="K1142" s="239"/>
      <c r="L1142" s="239"/>
      <c r="M1142" s="239"/>
      <c r="N1142" s="239"/>
      <c r="O1142" s="239"/>
      <c r="P1142" s="239"/>
      <c r="Q1142" s="239"/>
      <c r="R1142" s="239"/>
      <c r="S1142" s="239"/>
      <c r="T1142" s="239"/>
    </row>
    <row r="1143" spans="1:20" s="82" customFormat="1" x14ac:dyDescent="0.25">
      <c r="A1143" s="20"/>
      <c r="B1143" s="187"/>
      <c r="C1143" s="50"/>
      <c r="D1143" s="50"/>
      <c r="E1143" s="50"/>
      <c r="F1143" s="50"/>
      <c r="G1143" s="95"/>
      <c r="H1143" s="95"/>
      <c r="I1143" s="95"/>
      <c r="J1143" s="239"/>
      <c r="K1143" s="239"/>
      <c r="L1143" s="239"/>
      <c r="M1143" s="239"/>
      <c r="N1143" s="239"/>
      <c r="O1143" s="239"/>
      <c r="P1143" s="239"/>
      <c r="Q1143" s="239"/>
      <c r="R1143" s="239"/>
      <c r="S1143" s="239"/>
      <c r="T1143" s="239"/>
    </row>
    <row r="1144" spans="1:20" s="82" customFormat="1" x14ac:dyDescent="0.25">
      <c r="A1144" s="20"/>
      <c r="B1144" s="187"/>
      <c r="C1144" s="50"/>
      <c r="D1144" s="50"/>
      <c r="E1144" s="50"/>
      <c r="F1144" s="50"/>
      <c r="G1144" s="95"/>
      <c r="H1144" s="95"/>
      <c r="I1144" s="95"/>
      <c r="J1144" s="239"/>
      <c r="K1144" s="239"/>
      <c r="L1144" s="239"/>
      <c r="M1144" s="239"/>
      <c r="N1144" s="239"/>
      <c r="O1144" s="239"/>
      <c r="P1144" s="239"/>
      <c r="Q1144" s="239"/>
      <c r="R1144" s="239"/>
      <c r="S1144" s="239"/>
      <c r="T1144" s="239"/>
    </row>
    <row r="1145" spans="1:20" s="82" customFormat="1" x14ac:dyDescent="0.25">
      <c r="A1145" s="20"/>
      <c r="B1145" s="187"/>
      <c r="C1145" s="50"/>
      <c r="D1145" s="50"/>
      <c r="E1145" s="50"/>
      <c r="F1145" s="50"/>
      <c r="G1145" s="95"/>
      <c r="H1145" s="95"/>
      <c r="I1145" s="95"/>
      <c r="J1145" s="239"/>
      <c r="K1145" s="239"/>
      <c r="L1145" s="239"/>
      <c r="M1145" s="239"/>
      <c r="N1145" s="239"/>
      <c r="O1145" s="239"/>
      <c r="P1145" s="239"/>
      <c r="Q1145" s="239"/>
      <c r="R1145" s="239"/>
      <c r="S1145" s="239"/>
      <c r="T1145" s="239"/>
    </row>
    <row r="1146" spans="1:20" s="82" customFormat="1" x14ac:dyDescent="0.25">
      <c r="A1146" s="20"/>
      <c r="B1146" s="187"/>
      <c r="C1146" s="50"/>
      <c r="D1146" s="50"/>
      <c r="E1146" s="50"/>
      <c r="F1146" s="50"/>
      <c r="G1146" s="95"/>
      <c r="H1146" s="95"/>
      <c r="I1146" s="95"/>
      <c r="J1146" s="239"/>
      <c r="K1146" s="239"/>
      <c r="L1146" s="239"/>
      <c r="M1146" s="239"/>
      <c r="N1146" s="239"/>
      <c r="O1146" s="239"/>
      <c r="P1146" s="239"/>
      <c r="Q1146" s="239"/>
      <c r="R1146" s="239"/>
      <c r="S1146" s="239"/>
      <c r="T1146" s="239"/>
    </row>
    <row r="1147" spans="1:20" s="82" customFormat="1" x14ac:dyDescent="0.25">
      <c r="A1147" s="20"/>
      <c r="B1147" s="187"/>
      <c r="C1147" s="50"/>
      <c r="D1147" s="50"/>
      <c r="E1147" s="50"/>
      <c r="F1147" s="50"/>
      <c r="G1147" s="95"/>
      <c r="H1147" s="95"/>
      <c r="I1147" s="95"/>
      <c r="J1147" s="239"/>
      <c r="K1147" s="239"/>
      <c r="L1147" s="239"/>
      <c r="M1147" s="239"/>
      <c r="N1147" s="239"/>
      <c r="O1147" s="239"/>
      <c r="P1147" s="239"/>
      <c r="Q1147" s="239"/>
      <c r="R1147" s="239"/>
      <c r="S1147" s="239"/>
      <c r="T1147" s="239"/>
    </row>
    <row r="1148" spans="1:20" s="82" customFormat="1" x14ac:dyDescent="0.25">
      <c r="A1148" s="20"/>
      <c r="B1148" s="187"/>
      <c r="C1148" s="50"/>
      <c r="D1148" s="50"/>
      <c r="E1148" s="50"/>
      <c r="F1148" s="50"/>
      <c r="G1148" s="95"/>
      <c r="H1148" s="95"/>
      <c r="I1148" s="95"/>
      <c r="J1148" s="239"/>
      <c r="K1148" s="239"/>
      <c r="L1148" s="239"/>
      <c r="M1148" s="239"/>
      <c r="N1148" s="239"/>
      <c r="O1148" s="239"/>
      <c r="P1148" s="239"/>
      <c r="Q1148" s="239"/>
      <c r="R1148" s="239"/>
      <c r="S1148" s="239"/>
      <c r="T1148" s="239"/>
    </row>
    <row r="1149" spans="1:20" s="82" customFormat="1" x14ac:dyDescent="0.25">
      <c r="A1149" s="20"/>
      <c r="B1149" s="187"/>
      <c r="C1149" s="50"/>
      <c r="D1149" s="50"/>
      <c r="E1149" s="50"/>
      <c r="F1149" s="50"/>
      <c r="G1149" s="95"/>
      <c r="H1149" s="95"/>
      <c r="I1149" s="95"/>
      <c r="J1149" s="239"/>
      <c r="K1149" s="239"/>
      <c r="L1149" s="239"/>
      <c r="M1149" s="239"/>
      <c r="N1149" s="239"/>
      <c r="O1149" s="239"/>
      <c r="P1149" s="239"/>
      <c r="Q1149" s="239"/>
      <c r="R1149" s="239"/>
      <c r="S1149" s="239"/>
      <c r="T1149" s="239"/>
    </row>
    <row r="1150" spans="1:20" s="82" customFormat="1" x14ac:dyDescent="0.25">
      <c r="A1150" s="20"/>
      <c r="B1150" s="187"/>
      <c r="C1150" s="50"/>
      <c r="D1150" s="50"/>
      <c r="E1150" s="50"/>
      <c r="F1150" s="50"/>
      <c r="G1150" s="95"/>
      <c r="H1150" s="95"/>
      <c r="I1150" s="95"/>
      <c r="J1150" s="239"/>
      <c r="K1150" s="239"/>
      <c r="L1150" s="239"/>
      <c r="M1150" s="239"/>
      <c r="N1150" s="239"/>
      <c r="O1150" s="239"/>
      <c r="P1150" s="239"/>
      <c r="Q1150" s="239"/>
      <c r="R1150" s="239"/>
      <c r="S1150" s="239"/>
      <c r="T1150" s="239"/>
    </row>
    <row r="1151" spans="1:20" s="82" customFormat="1" x14ac:dyDescent="0.25">
      <c r="A1151" s="20"/>
      <c r="B1151" s="187"/>
      <c r="C1151" s="50"/>
      <c r="D1151" s="50"/>
      <c r="E1151" s="50"/>
      <c r="F1151" s="50"/>
      <c r="G1151" s="95"/>
      <c r="H1151" s="95"/>
      <c r="I1151" s="95"/>
      <c r="J1151" s="239"/>
      <c r="K1151" s="239"/>
      <c r="L1151" s="239"/>
      <c r="M1151" s="239"/>
      <c r="N1151" s="239"/>
      <c r="O1151" s="239"/>
      <c r="P1151" s="239"/>
      <c r="Q1151" s="239"/>
      <c r="R1151" s="239"/>
      <c r="S1151" s="239"/>
      <c r="T1151" s="239"/>
    </row>
    <row r="1152" spans="1:20" s="82" customFormat="1" x14ac:dyDescent="0.25">
      <c r="A1152" s="20"/>
      <c r="B1152" s="187"/>
      <c r="C1152" s="50"/>
      <c r="D1152" s="50"/>
      <c r="E1152" s="50"/>
      <c r="F1152" s="50"/>
      <c r="G1152" s="95"/>
      <c r="H1152" s="95"/>
      <c r="I1152" s="95"/>
      <c r="J1152" s="239"/>
      <c r="K1152" s="239"/>
      <c r="L1152" s="239"/>
      <c r="M1152" s="239"/>
      <c r="N1152" s="239"/>
      <c r="O1152" s="239"/>
      <c r="P1152" s="239"/>
      <c r="Q1152" s="239"/>
      <c r="R1152" s="239"/>
      <c r="S1152" s="239"/>
      <c r="T1152" s="239"/>
    </row>
    <row r="1153" spans="1:20" s="82" customFormat="1" x14ac:dyDescent="0.25">
      <c r="A1153" s="20"/>
      <c r="B1153" s="187"/>
      <c r="C1153" s="50"/>
      <c r="D1153" s="50"/>
      <c r="E1153" s="50"/>
      <c r="F1153" s="50"/>
      <c r="G1153" s="95"/>
      <c r="H1153" s="95"/>
      <c r="I1153" s="95"/>
      <c r="J1153" s="239"/>
      <c r="K1153" s="239"/>
      <c r="L1153" s="239"/>
      <c r="M1153" s="239"/>
      <c r="N1153" s="239"/>
      <c r="O1153" s="239"/>
      <c r="P1153" s="239"/>
      <c r="Q1153" s="239"/>
      <c r="R1153" s="239"/>
      <c r="S1153" s="239"/>
      <c r="T1153" s="239"/>
    </row>
    <row r="1154" spans="1:20" s="82" customFormat="1" x14ac:dyDescent="0.25">
      <c r="A1154" s="20"/>
      <c r="B1154" s="187"/>
      <c r="C1154" s="50"/>
      <c r="D1154" s="50"/>
      <c r="E1154" s="50"/>
      <c r="F1154" s="50"/>
      <c r="G1154" s="95"/>
      <c r="H1154" s="95"/>
      <c r="I1154" s="95"/>
      <c r="J1154" s="239"/>
      <c r="K1154" s="239"/>
      <c r="L1154" s="239"/>
      <c r="M1154" s="239"/>
      <c r="N1154" s="239"/>
      <c r="O1154" s="239"/>
      <c r="P1154" s="239"/>
      <c r="Q1154" s="239"/>
      <c r="R1154" s="239"/>
      <c r="S1154" s="239"/>
      <c r="T1154" s="239"/>
    </row>
    <row r="1155" spans="1:20" s="82" customFormat="1" x14ac:dyDescent="0.25">
      <c r="A1155" s="20"/>
      <c r="B1155" s="187"/>
      <c r="C1155" s="50"/>
      <c r="D1155" s="50"/>
      <c r="E1155" s="50"/>
      <c r="F1155" s="50"/>
      <c r="G1155" s="95"/>
      <c r="H1155" s="95"/>
      <c r="I1155" s="95"/>
      <c r="J1155" s="239"/>
      <c r="K1155" s="239"/>
      <c r="L1155" s="239"/>
      <c r="M1155" s="239"/>
      <c r="N1155" s="239"/>
      <c r="O1155" s="239"/>
      <c r="P1155" s="239"/>
      <c r="Q1155" s="239"/>
      <c r="R1155" s="239"/>
      <c r="S1155" s="239"/>
      <c r="T1155" s="239"/>
    </row>
    <row r="1156" spans="1:20" s="82" customFormat="1" x14ac:dyDescent="0.25">
      <c r="A1156" s="20"/>
      <c r="B1156" s="187"/>
      <c r="C1156" s="50"/>
      <c r="D1156" s="50"/>
      <c r="E1156" s="50"/>
      <c r="F1156" s="50"/>
      <c r="G1156" s="95"/>
      <c r="H1156" s="95"/>
      <c r="I1156" s="95"/>
      <c r="J1156" s="239"/>
      <c r="K1156" s="239"/>
      <c r="L1156" s="239"/>
      <c r="M1156" s="239"/>
      <c r="N1156" s="239"/>
      <c r="O1156" s="239"/>
      <c r="P1156" s="239"/>
      <c r="Q1156" s="239"/>
      <c r="R1156" s="239"/>
      <c r="S1156" s="239"/>
      <c r="T1156" s="239"/>
    </row>
    <row r="1157" spans="1:20" s="82" customFormat="1" x14ac:dyDescent="0.25">
      <c r="A1157" s="20"/>
      <c r="B1157" s="187"/>
      <c r="C1157" s="50"/>
      <c r="D1157" s="50"/>
      <c r="E1157" s="50"/>
      <c r="F1157" s="50"/>
      <c r="G1157" s="95"/>
      <c r="H1157" s="95"/>
      <c r="I1157" s="95"/>
      <c r="J1157" s="239"/>
      <c r="K1157" s="239"/>
      <c r="L1157" s="239"/>
      <c r="M1157" s="239"/>
      <c r="N1157" s="239"/>
      <c r="O1157" s="239"/>
      <c r="P1157" s="239"/>
      <c r="Q1157" s="239"/>
      <c r="R1157" s="239"/>
      <c r="S1157" s="239"/>
      <c r="T1157" s="239"/>
    </row>
    <row r="1158" spans="1:20" s="82" customFormat="1" x14ac:dyDescent="0.25">
      <c r="A1158" s="20"/>
      <c r="B1158" s="187"/>
      <c r="C1158" s="50"/>
      <c r="D1158" s="50"/>
      <c r="E1158" s="50"/>
      <c r="F1158" s="50"/>
      <c r="G1158" s="95"/>
      <c r="H1158" s="95"/>
      <c r="I1158" s="95"/>
      <c r="J1158" s="239"/>
      <c r="K1158" s="239"/>
      <c r="L1158" s="239"/>
      <c r="M1158" s="239"/>
      <c r="N1158" s="239"/>
      <c r="O1158" s="239"/>
      <c r="P1158" s="239"/>
      <c r="Q1158" s="239"/>
      <c r="R1158" s="239"/>
      <c r="S1158" s="239"/>
      <c r="T1158" s="239"/>
    </row>
    <row r="1159" spans="1:20" s="82" customFormat="1" x14ac:dyDescent="0.25">
      <c r="A1159" s="20"/>
      <c r="B1159" s="187"/>
      <c r="C1159" s="50"/>
      <c r="D1159" s="50"/>
      <c r="E1159" s="50"/>
      <c r="F1159" s="50"/>
      <c r="G1159" s="95"/>
      <c r="H1159" s="95"/>
      <c r="I1159" s="95"/>
      <c r="J1159" s="239"/>
      <c r="K1159" s="239"/>
      <c r="L1159" s="239"/>
      <c r="M1159" s="239"/>
      <c r="N1159" s="239"/>
      <c r="O1159" s="239"/>
      <c r="P1159" s="239"/>
      <c r="Q1159" s="239"/>
      <c r="R1159" s="239"/>
      <c r="S1159" s="239"/>
      <c r="T1159" s="239"/>
    </row>
    <row r="1160" spans="1:20" s="82" customFormat="1" x14ac:dyDescent="0.25">
      <c r="A1160" s="20"/>
      <c r="B1160" s="187"/>
      <c r="C1160" s="50"/>
      <c r="D1160" s="50"/>
      <c r="E1160" s="50"/>
      <c r="F1160" s="50"/>
      <c r="G1160" s="95"/>
      <c r="H1160" s="95"/>
      <c r="I1160" s="95"/>
      <c r="J1160" s="239"/>
      <c r="K1160" s="239"/>
      <c r="L1160" s="239"/>
      <c r="M1160" s="239"/>
      <c r="N1160" s="239"/>
      <c r="O1160" s="239"/>
      <c r="P1160" s="239"/>
      <c r="Q1160" s="239"/>
      <c r="R1160" s="239"/>
      <c r="S1160" s="239"/>
      <c r="T1160" s="239"/>
    </row>
    <row r="1161" spans="1:20" s="82" customFormat="1" x14ac:dyDescent="0.25">
      <c r="A1161" s="20"/>
      <c r="B1161" s="187"/>
      <c r="C1161" s="50"/>
      <c r="D1161" s="50"/>
      <c r="E1161" s="50"/>
      <c r="F1161" s="50"/>
      <c r="G1161" s="95"/>
      <c r="H1161" s="95"/>
      <c r="I1161" s="95"/>
      <c r="J1161" s="239"/>
      <c r="K1161" s="239"/>
      <c r="L1161" s="239"/>
      <c r="M1161" s="239"/>
      <c r="N1161" s="239"/>
      <c r="O1161" s="239"/>
      <c r="P1161" s="239"/>
      <c r="Q1161" s="239"/>
      <c r="R1161" s="239"/>
      <c r="S1161" s="239"/>
      <c r="T1161" s="239"/>
    </row>
    <row r="1162" spans="1:20" s="82" customFormat="1" x14ac:dyDescent="0.25">
      <c r="A1162" s="20"/>
      <c r="B1162" s="187"/>
      <c r="C1162" s="50"/>
      <c r="D1162" s="50"/>
      <c r="E1162" s="50"/>
      <c r="F1162" s="50"/>
      <c r="G1162" s="95"/>
      <c r="H1162" s="95"/>
      <c r="I1162" s="95"/>
      <c r="J1162" s="239"/>
      <c r="K1162" s="239"/>
      <c r="L1162" s="239"/>
      <c r="M1162" s="239"/>
      <c r="N1162" s="239"/>
      <c r="O1162" s="239"/>
      <c r="P1162" s="239"/>
      <c r="Q1162" s="239"/>
      <c r="R1162" s="239"/>
      <c r="S1162" s="239"/>
      <c r="T1162" s="239"/>
    </row>
    <row r="1163" spans="1:20" s="82" customFormat="1" x14ac:dyDescent="0.25">
      <c r="A1163" s="20"/>
      <c r="B1163" s="187"/>
      <c r="C1163" s="50"/>
      <c r="D1163" s="50"/>
      <c r="E1163" s="50"/>
      <c r="F1163" s="50"/>
      <c r="G1163" s="95"/>
      <c r="H1163" s="95"/>
      <c r="I1163" s="95"/>
      <c r="J1163" s="239"/>
      <c r="K1163" s="239"/>
      <c r="L1163" s="239"/>
      <c r="M1163" s="239"/>
      <c r="N1163" s="239"/>
      <c r="O1163" s="239"/>
      <c r="P1163" s="239"/>
      <c r="Q1163" s="239"/>
      <c r="R1163" s="239"/>
      <c r="S1163" s="239"/>
      <c r="T1163" s="239"/>
    </row>
    <row r="1164" spans="1:20" s="82" customFormat="1" x14ac:dyDescent="0.25">
      <c r="A1164" s="20"/>
      <c r="B1164" s="187"/>
      <c r="C1164" s="50"/>
      <c r="D1164" s="50"/>
      <c r="E1164" s="50"/>
      <c r="F1164" s="50"/>
      <c r="G1164" s="95"/>
      <c r="H1164" s="95"/>
      <c r="I1164" s="95"/>
      <c r="J1164" s="239"/>
      <c r="K1164" s="239"/>
      <c r="L1164" s="239"/>
      <c r="M1164" s="239"/>
      <c r="N1164" s="239"/>
      <c r="O1164" s="239"/>
      <c r="P1164" s="239"/>
      <c r="Q1164" s="239"/>
      <c r="R1164" s="239"/>
      <c r="S1164" s="239"/>
      <c r="T1164" s="239"/>
    </row>
    <row r="1165" spans="1:20" s="82" customFormat="1" x14ac:dyDescent="0.25">
      <c r="A1165" s="20"/>
      <c r="B1165" s="187"/>
      <c r="C1165" s="50"/>
      <c r="D1165" s="50"/>
      <c r="E1165" s="50"/>
      <c r="F1165" s="50"/>
      <c r="G1165" s="95"/>
      <c r="H1165" s="95"/>
      <c r="I1165" s="95"/>
      <c r="J1165" s="239"/>
      <c r="K1165" s="239"/>
      <c r="L1165" s="239"/>
      <c r="M1165" s="239"/>
      <c r="N1165" s="239"/>
      <c r="O1165" s="239"/>
      <c r="P1165" s="239"/>
      <c r="Q1165" s="239"/>
      <c r="R1165" s="239"/>
      <c r="S1165" s="239"/>
      <c r="T1165" s="239"/>
    </row>
    <row r="1166" spans="1:20" s="82" customFormat="1" x14ac:dyDescent="0.25">
      <c r="A1166" s="20"/>
      <c r="B1166" s="186"/>
      <c r="C1166" s="49"/>
      <c r="D1166" s="49"/>
      <c r="E1166" s="49"/>
      <c r="F1166" s="49"/>
      <c r="G1166" s="90"/>
      <c r="H1166" s="90"/>
      <c r="I1166" s="90"/>
      <c r="J1166" s="239"/>
      <c r="K1166" s="239"/>
      <c r="L1166" s="239"/>
      <c r="M1166" s="239"/>
      <c r="N1166" s="239"/>
      <c r="O1166" s="239"/>
      <c r="P1166" s="239"/>
      <c r="Q1166" s="239"/>
      <c r="R1166" s="239"/>
      <c r="S1166" s="239"/>
      <c r="T1166" s="239"/>
    </row>
    <row r="1167" spans="1:20" s="82" customFormat="1" x14ac:dyDescent="0.25">
      <c r="A1167" s="20"/>
      <c r="B1167" s="186"/>
      <c r="C1167" s="49"/>
      <c r="D1167" s="49"/>
      <c r="E1167" s="49"/>
      <c r="F1167" s="49"/>
      <c r="G1167" s="90"/>
      <c r="H1167" s="90"/>
      <c r="I1167" s="90"/>
      <c r="J1167" s="239"/>
      <c r="K1167" s="239"/>
      <c r="L1167" s="239"/>
      <c r="M1167" s="239"/>
      <c r="N1167" s="239"/>
      <c r="O1167" s="239"/>
      <c r="P1167" s="239"/>
      <c r="Q1167" s="239"/>
      <c r="R1167" s="239"/>
      <c r="S1167" s="239"/>
      <c r="T1167" s="239"/>
    </row>
    <row r="1168" spans="1:20" s="82" customFormat="1" x14ac:dyDescent="0.25">
      <c r="A1168" s="20"/>
      <c r="B1168" s="186"/>
      <c r="C1168" s="49"/>
      <c r="D1168" s="49"/>
      <c r="E1168" s="49"/>
      <c r="F1168" s="49"/>
      <c r="G1168" s="90"/>
      <c r="H1168" s="90"/>
      <c r="I1168" s="90"/>
      <c r="J1168" s="239"/>
      <c r="K1168" s="239"/>
      <c r="L1168" s="239"/>
      <c r="M1168" s="239"/>
      <c r="N1168" s="239"/>
      <c r="O1168" s="239"/>
      <c r="P1168" s="239"/>
      <c r="Q1168" s="239"/>
      <c r="R1168" s="239"/>
      <c r="S1168" s="239"/>
      <c r="T1168" s="239"/>
    </row>
    <row r="1169" spans="1:20" s="82" customFormat="1" x14ac:dyDescent="0.25">
      <c r="A1169" s="20"/>
      <c r="B1169" s="186"/>
      <c r="C1169" s="49"/>
      <c r="D1169" s="49"/>
      <c r="E1169" s="49"/>
      <c r="F1169" s="49"/>
      <c r="G1169" s="90"/>
      <c r="H1169" s="90"/>
      <c r="I1169" s="90"/>
      <c r="J1169" s="239"/>
      <c r="K1169" s="239"/>
      <c r="L1169" s="239"/>
      <c r="M1169" s="239"/>
      <c r="N1169" s="239"/>
      <c r="O1169" s="239"/>
      <c r="P1169" s="239"/>
      <c r="Q1169" s="239"/>
      <c r="R1169" s="239"/>
      <c r="S1169" s="239"/>
      <c r="T1169" s="239"/>
    </row>
    <row r="1170" spans="1:20" s="82" customFormat="1" x14ac:dyDescent="0.25">
      <c r="A1170" s="20"/>
      <c r="B1170" s="186"/>
      <c r="C1170" s="49"/>
      <c r="D1170" s="49"/>
      <c r="E1170" s="49"/>
      <c r="F1170" s="49"/>
      <c r="G1170" s="90"/>
      <c r="H1170" s="90"/>
      <c r="I1170" s="90"/>
      <c r="J1170" s="239"/>
      <c r="K1170" s="239"/>
      <c r="L1170" s="239"/>
      <c r="M1170" s="239"/>
      <c r="N1170" s="239"/>
      <c r="O1170" s="239"/>
      <c r="P1170" s="239"/>
      <c r="Q1170" s="239"/>
      <c r="R1170" s="239"/>
      <c r="S1170" s="239"/>
      <c r="T1170" s="239"/>
    </row>
    <row r="1171" spans="1:20" s="82" customFormat="1" x14ac:dyDescent="0.25">
      <c r="A1171" s="20"/>
      <c r="B1171" s="186"/>
      <c r="C1171" s="49"/>
      <c r="D1171" s="49"/>
      <c r="E1171" s="49"/>
      <c r="F1171" s="49"/>
      <c r="G1171" s="90"/>
      <c r="H1171" s="90"/>
      <c r="I1171" s="90"/>
      <c r="J1171" s="239"/>
      <c r="K1171" s="239"/>
      <c r="L1171" s="239"/>
      <c r="M1171" s="239"/>
      <c r="N1171" s="239"/>
      <c r="O1171" s="239"/>
      <c r="P1171" s="239"/>
      <c r="Q1171" s="239"/>
      <c r="R1171" s="239"/>
      <c r="S1171" s="239"/>
      <c r="T1171" s="239"/>
    </row>
    <row r="1172" spans="1:20" s="82" customFormat="1" x14ac:dyDescent="0.25">
      <c r="A1172" s="20"/>
      <c r="B1172" s="186"/>
      <c r="C1172" s="49"/>
      <c r="D1172" s="49"/>
      <c r="E1172" s="49"/>
      <c r="F1172" s="49"/>
      <c r="G1172" s="90"/>
      <c r="H1172" s="90"/>
      <c r="I1172" s="90"/>
      <c r="J1172" s="239"/>
      <c r="K1172" s="239"/>
      <c r="L1172" s="239"/>
      <c r="M1172" s="239"/>
      <c r="N1172" s="239"/>
      <c r="O1172" s="239"/>
      <c r="P1172" s="239"/>
      <c r="Q1172" s="239"/>
      <c r="R1172" s="239"/>
      <c r="S1172" s="239"/>
      <c r="T1172" s="239"/>
    </row>
    <row r="1173" spans="1:20" s="82" customFormat="1" x14ac:dyDescent="0.25">
      <c r="A1173" s="20"/>
      <c r="B1173" s="186"/>
      <c r="C1173" s="49"/>
      <c r="D1173" s="49"/>
      <c r="E1173" s="49"/>
      <c r="F1173" s="49"/>
      <c r="G1173" s="90"/>
      <c r="H1173" s="90"/>
      <c r="I1173" s="90"/>
      <c r="J1173" s="239"/>
      <c r="K1173" s="239"/>
      <c r="L1173" s="239"/>
      <c r="M1173" s="239"/>
      <c r="N1173" s="239"/>
      <c r="O1173" s="239"/>
      <c r="P1173" s="239"/>
      <c r="Q1173" s="239"/>
      <c r="R1173" s="239"/>
      <c r="S1173" s="239"/>
      <c r="T1173" s="239"/>
    </row>
    <row r="1174" spans="1:20" s="82" customFormat="1" x14ac:dyDescent="0.25">
      <c r="A1174" s="20"/>
      <c r="B1174" s="186"/>
      <c r="C1174" s="49"/>
      <c r="D1174" s="49"/>
      <c r="E1174" s="49"/>
      <c r="F1174" s="49"/>
      <c r="G1174" s="90"/>
      <c r="H1174" s="90"/>
      <c r="I1174" s="90"/>
      <c r="J1174" s="239"/>
      <c r="K1174" s="239"/>
      <c r="L1174" s="239"/>
      <c r="M1174" s="239"/>
      <c r="N1174" s="239"/>
      <c r="O1174" s="239"/>
      <c r="P1174" s="239"/>
      <c r="Q1174" s="239"/>
      <c r="R1174" s="239"/>
      <c r="S1174" s="239"/>
      <c r="T1174" s="239"/>
    </row>
    <row r="1175" spans="1:20" s="82" customFormat="1" x14ac:dyDescent="0.25">
      <c r="A1175" s="20"/>
      <c r="B1175" s="186"/>
      <c r="C1175" s="49"/>
      <c r="D1175" s="49"/>
      <c r="E1175" s="49"/>
      <c r="F1175" s="49"/>
      <c r="G1175" s="90"/>
      <c r="H1175" s="90"/>
      <c r="I1175" s="90"/>
      <c r="J1175" s="239"/>
      <c r="K1175" s="239"/>
      <c r="L1175" s="239"/>
      <c r="M1175" s="239"/>
      <c r="N1175" s="239"/>
      <c r="O1175" s="239"/>
      <c r="P1175" s="239"/>
      <c r="Q1175" s="239"/>
      <c r="R1175" s="239"/>
      <c r="S1175" s="239"/>
      <c r="T1175" s="239"/>
    </row>
    <row r="1176" spans="1:20" s="82" customFormat="1" x14ac:dyDescent="0.25">
      <c r="A1176" s="20"/>
      <c r="B1176" s="186"/>
      <c r="C1176" s="49"/>
      <c r="D1176" s="49"/>
      <c r="E1176" s="49"/>
      <c r="F1176" s="49"/>
      <c r="G1176" s="90"/>
      <c r="H1176" s="90"/>
      <c r="I1176" s="90"/>
      <c r="J1176" s="239"/>
      <c r="K1176" s="239"/>
      <c r="L1176" s="239"/>
      <c r="M1176" s="239"/>
      <c r="N1176" s="239"/>
      <c r="O1176" s="239"/>
      <c r="P1176" s="239"/>
      <c r="Q1176" s="239"/>
      <c r="R1176" s="239"/>
      <c r="S1176" s="239"/>
      <c r="T1176" s="239"/>
    </row>
    <row r="1177" spans="1:20" s="82" customFormat="1" x14ac:dyDescent="0.25">
      <c r="A1177" s="20"/>
      <c r="B1177" s="186"/>
      <c r="C1177" s="49"/>
      <c r="D1177" s="49"/>
      <c r="E1177" s="49"/>
      <c r="F1177" s="49"/>
      <c r="G1177" s="90"/>
      <c r="H1177" s="90"/>
      <c r="I1177" s="90"/>
      <c r="J1177" s="239"/>
      <c r="K1177" s="239"/>
      <c r="L1177" s="239"/>
      <c r="M1177" s="239"/>
      <c r="N1177" s="239"/>
      <c r="O1177" s="239"/>
      <c r="P1177" s="239"/>
      <c r="Q1177" s="239"/>
      <c r="R1177" s="239"/>
      <c r="S1177" s="239"/>
      <c r="T1177" s="239"/>
    </row>
    <row r="1178" spans="1:20" s="82" customFormat="1" x14ac:dyDescent="0.25">
      <c r="A1178" s="20"/>
      <c r="B1178" s="186"/>
      <c r="C1178" s="49"/>
      <c r="D1178" s="49"/>
      <c r="E1178" s="49"/>
      <c r="F1178" s="49"/>
      <c r="G1178" s="90"/>
      <c r="H1178" s="90"/>
      <c r="I1178" s="90"/>
      <c r="J1178" s="239"/>
      <c r="K1178" s="239"/>
      <c r="L1178" s="239"/>
      <c r="M1178" s="239"/>
      <c r="N1178" s="239"/>
      <c r="O1178" s="239"/>
      <c r="P1178" s="239"/>
      <c r="Q1178" s="239"/>
      <c r="R1178" s="239"/>
      <c r="S1178" s="239"/>
      <c r="T1178" s="239"/>
    </row>
    <row r="1179" spans="1:20" s="82" customFormat="1" x14ac:dyDescent="0.25">
      <c r="A1179" s="20"/>
      <c r="B1179" s="186"/>
      <c r="C1179" s="49"/>
      <c r="D1179" s="49"/>
      <c r="E1179" s="49"/>
      <c r="F1179" s="49"/>
      <c r="G1179" s="90"/>
      <c r="H1179" s="90"/>
      <c r="I1179" s="90"/>
      <c r="J1179" s="239"/>
      <c r="K1179" s="239"/>
      <c r="L1179" s="239"/>
      <c r="M1179" s="239"/>
      <c r="N1179" s="239"/>
      <c r="O1179" s="239"/>
      <c r="P1179" s="239"/>
      <c r="Q1179" s="239"/>
      <c r="R1179" s="239"/>
      <c r="S1179" s="239"/>
      <c r="T1179" s="239"/>
    </row>
    <row r="1180" spans="1:20" s="82" customFormat="1" x14ac:dyDescent="0.25">
      <c r="A1180" s="20"/>
      <c r="B1180" s="186"/>
      <c r="C1180" s="49"/>
      <c r="D1180" s="49"/>
      <c r="E1180" s="49"/>
      <c r="F1180" s="49"/>
      <c r="G1180" s="90"/>
      <c r="H1180" s="90"/>
      <c r="I1180" s="90"/>
      <c r="J1180" s="239"/>
      <c r="K1180" s="239"/>
      <c r="L1180" s="239"/>
      <c r="M1180" s="239"/>
      <c r="N1180" s="239"/>
      <c r="O1180" s="239"/>
      <c r="P1180" s="239"/>
      <c r="Q1180" s="239"/>
      <c r="R1180" s="239"/>
      <c r="S1180" s="239"/>
      <c r="T1180" s="239"/>
    </row>
    <row r="1181" spans="1:20" s="82" customFormat="1" x14ac:dyDescent="0.25">
      <c r="A1181" s="20"/>
      <c r="B1181" s="186"/>
      <c r="C1181" s="49"/>
      <c r="D1181" s="49"/>
      <c r="E1181" s="49"/>
      <c r="F1181" s="49"/>
      <c r="G1181" s="90"/>
      <c r="H1181" s="90"/>
      <c r="I1181" s="90"/>
      <c r="J1181" s="239"/>
      <c r="K1181" s="239"/>
      <c r="L1181" s="239"/>
      <c r="M1181" s="239"/>
      <c r="N1181" s="239"/>
      <c r="O1181" s="239"/>
      <c r="P1181" s="239"/>
      <c r="Q1181" s="239"/>
      <c r="R1181" s="239"/>
      <c r="S1181" s="239"/>
      <c r="T1181" s="239"/>
    </row>
    <row r="1182" spans="1:20" s="82" customFormat="1" x14ac:dyDescent="0.25">
      <c r="A1182" s="20"/>
      <c r="B1182" s="186"/>
      <c r="C1182" s="49"/>
      <c r="D1182" s="49"/>
      <c r="E1182" s="49"/>
      <c r="F1182" s="49"/>
      <c r="G1182" s="90"/>
      <c r="H1182" s="90"/>
      <c r="I1182" s="90"/>
      <c r="J1182" s="239"/>
      <c r="K1182" s="239"/>
      <c r="L1182" s="239"/>
      <c r="M1182" s="239"/>
      <c r="N1182" s="239"/>
      <c r="O1182" s="239"/>
      <c r="P1182" s="239"/>
      <c r="Q1182" s="239"/>
      <c r="R1182" s="239"/>
      <c r="S1182" s="239"/>
      <c r="T1182" s="239"/>
    </row>
    <row r="1183" spans="1:20" s="82" customFormat="1" x14ac:dyDescent="0.25">
      <c r="A1183" s="20"/>
      <c r="B1183" s="186"/>
      <c r="C1183" s="49"/>
      <c r="D1183" s="49"/>
      <c r="E1183" s="49"/>
      <c r="F1183" s="49"/>
      <c r="G1183" s="90"/>
      <c r="H1183" s="90"/>
      <c r="I1183" s="90"/>
      <c r="J1183" s="239"/>
      <c r="K1183" s="239"/>
      <c r="L1183" s="239"/>
      <c r="M1183" s="239"/>
      <c r="N1183" s="239"/>
      <c r="O1183" s="239"/>
      <c r="P1183" s="239"/>
      <c r="Q1183" s="239"/>
      <c r="R1183" s="239"/>
      <c r="S1183" s="239"/>
      <c r="T1183" s="239"/>
    </row>
    <row r="1184" spans="1:20" s="82" customFormat="1" x14ac:dyDescent="0.25">
      <c r="A1184" s="20"/>
      <c r="B1184" s="186"/>
      <c r="C1184" s="49"/>
      <c r="D1184" s="49"/>
      <c r="E1184" s="49"/>
      <c r="F1184" s="49"/>
      <c r="G1184" s="90"/>
      <c r="H1184" s="90"/>
      <c r="I1184" s="90"/>
      <c r="J1184" s="239"/>
      <c r="K1184" s="239"/>
      <c r="L1184" s="239"/>
      <c r="M1184" s="239"/>
      <c r="N1184" s="239"/>
      <c r="O1184" s="239"/>
      <c r="P1184" s="239"/>
      <c r="Q1184" s="239"/>
      <c r="R1184" s="239"/>
      <c r="S1184" s="239"/>
      <c r="T1184" s="239"/>
    </row>
    <row r="1185" spans="1:20" s="82" customFormat="1" x14ac:dyDescent="0.25">
      <c r="A1185" s="20"/>
      <c r="B1185" s="186"/>
      <c r="C1185" s="49"/>
      <c r="D1185" s="49"/>
      <c r="E1185" s="49"/>
      <c r="F1185" s="49"/>
      <c r="G1185" s="90"/>
      <c r="H1185" s="90"/>
      <c r="I1185" s="90"/>
      <c r="J1185" s="239"/>
      <c r="K1185" s="239"/>
      <c r="L1185" s="239"/>
      <c r="M1185" s="239"/>
      <c r="N1185" s="239"/>
      <c r="O1185" s="239"/>
      <c r="P1185" s="239"/>
      <c r="Q1185" s="239"/>
      <c r="R1185" s="239"/>
      <c r="S1185" s="239"/>
      <c r="T1185" s="239"/>
    </row>
    <row r="1186" spans="1:20" s="82" customFormat="1" x14ac:dyDescent="0.25">
      <c r="A1186" s="20"/>
      <c r="B1186" s="186"/>
      <c r="C1186" s="49"/>
      <c r="D1186" s="49"/>
      <c r="E1186" s="49"/>
      <c r="F1186" s="49"/>
      <c r="G1186" s="90"/>
      <c r="H1186" s="90"/>
      <c r="I1186" s="90"/>
      <c r="J1186" s="239"/>
      <c r="K1186" s="239"/>
      <c r="L1186" s="239"/>
      <c r="M1186" s="239"/>
      <c r="N1186" s="239"/>
      <c r="O1186" s="239"/>
      <c r="P1186" s="239"/>
      <c r="Q1186" s="239"/>
      <c r="R1186" s="239"/>
      <c r="S1186" s="239"/>
      <c r="T1186" s="239"/>
    </row>
    <row r="1187" spans="1:20" s="82" customFormat="1" x14ac:dyDescent="0.25">
      <c r="A1187" s="20"/>
      <c r="B1187" s="186"/>
      <c r="C1187" s="49"/>
      <c r="D1187" s="49"/>
      <c r="E1187" s="49"/>
      <c r="F1187" s="49"/>
      <c r="G1187" s="90"/>
      <c r="H1187" s="90"/>
      <c r="I1187" s="90"/>
      <c r="J1187" s="239"/>
      <c r="K1187" s="239"/>
      <c r="L1187" s="239"/>
      <c r="M1187" s="239"/>
      <c r="N1187" s="239"/>
      <c r="O1187" s="239"/>
      <c r="P1187" s="239"/>
      <c r="Q1187" s="239"/>
      <c r="R1187" s="239"/>
      <c r="S1187" s="239"/>
      <c r="T1187" s="239"/>
    </row>
    <row r="1188" spans="1:20" s="82" customFormat="1" x14ac:dyDescent="0.25">
      <c r="A1188" s="20"/>
      <c r="B1188" s="186"/>
      <c r="C1188" s="49"/>
      <c r="D1188" s="49"/>
      <c r="E1188" s="49"/>
      <c r="F1188" s="49"/>
      <c r="G1188" s="90"/>
      <c r="H1188" s="90"/>
      <c r="I1188" s="90"/>
      <c r="J1188" s="239"/>
      <c r="K1188" s="239"/>
      <c r="L1188" s="239"/>
      <c r="M1188" s="239"/>
      <c r="N1188" s="239"/>
      <c r="O1188" s="239"/>
      <c r="P1188" s="239"/>
      <c r="Q1188" s="239"/>
      <c r="R1188" s="239"/>
      <c r="S1188" s="239"/>
      <c r="T1188" s="239"/>
    </row>
    <row r="1189" spans="1:20" s="82" customFormat="1" x14ac:dyDescent="0.25">
      <c r="A1189" s="20"/>
      <c r="B1189" s="186"/>
      <c r="C1189" s="49"/>
      <c r="D1189" s="49"/>
      <c r="E1189" s="49"/>
      <c r="F1189" s="49"/>
      <c r="G1189" s="90"/>
      <c r="H1189" s="90"/>
      <c r="I1189" s="90"/>
      <c r="J1189" s="239"/>
      <c r="K1189" s="239"/>
      <c r="L1189" s="239"/>
      <c r="M1189" s="239"/>
      <c r="N1189" s="239"/>
      <c r="O1189" s="239"/>
      <c r="P1189" s="239"/>
      <c r="Q1189" s="239"/>
      <c r="R1189" s="239"/>
      <c r="S1189" s="239"/>
      <c r="T1189" s="239"/>
    </row>
    <row r="1190" spans="1:20" s="82" customFormat="1" x14ac:dyDescent="0.25">
      <c r="A1190" s="20"/>
      <c r="B1190" s="186"/>
      <c r="C1190" s="49"/>
      <c r="D1190" s="49"/>
      <c r="E1190" s="49"/>
      <c r="F1190" s="49"/>
      <c r="G1190" s="90"/>
      <c r="H1190" s="90"/>
      <c r="I1190" s="90"/>
      <c r="J1190" s="239"/>
      <c r="K1190" s="239"/>
      <c r="L1190" s="239"/>
      <c r="M1190" s="239"/>
      <c r="N1190" s="239"/>
      <c r="O1190" s="239"/>
      <c r="P1190" s="239"/>
      <c r="Q1190" s="239"/>
      <c r="R1190" s="239"/>
      <c r="S1190" s="239"/>
      <c r="T1190" s="239"/>
    </row>
    <row r="1191" spans="1:20" s="82" customFormat="1" x14ac:dyDescent="0.25">
      <c r="A1191" s="20"/>
      <c r="B1191" s="186"/>
      <c r="C1191" s="49"/>
      <c r="D1191" s="49"/>
      <c r="E1191" s="49"/>
      <c r="F1191" s="49"/>
      <c r="G1191" s="90"/>
      <c r="H1191" s="90"/>
      <c r="I1191" s="90"/>
      <c r="J1191" s="239"/>
      <c r="K1191" s="239"/>
      <c r="L1191" s="239"/>
      <c r="M1191" s="239"/>
      <c r="N1191" s="239"/>
      <c r="O1191" s="239"/>
      <c r="P1191" s="239"/>
      <c r="Q1191" s="239"/>
      <c r="R1191" s="239"/>
      <c r="S1191" s="239"/>
      <c r="T1191" s="239"/>
    </row>
    <row r="1192" spans="1:20" s="82" customFormat="1" x14ac:dyDescent="0.25">
      <c r="A1192" s="20"/>
      <c r="B1192" s="186"/>
      <c r="C1192" s="49"/>
      <c r="D1192" s="49"/>
      <c r="E1192" s="49"/>
      <c r="F1192" s="49"/>
      <c r="G1192" s="90"/>
      <c r="H1192" s="90"/>
      <c r="I1192" s="90"/>
      <c r="J1192" s="239"/>
      <c r="K1192" s="239"/>
      <c r="L1192" s="239"/>
      <c r="M1192" s="239"/>
      <c r="N1192" s="239"/>
      <c r="O1192" s="239"/>
      <c r="P1192" s="239"/>
      <c r="Q1192" s="239"/>
      <c r="R1192" s="239"/>
      <c r="S1192" s="239"/>
      <c r="T1192" s="239"/>
    </row>
    <row r="1193" spans="1:20" s="82" customFormat="1" x14ac:dyDescent="0.25">
      <c r="A1193" s="20"/>
      <c r="B1193" s="186"/>
      <c r="C1193" s="49"/>
      <c r="D1193" s="49"/>
      <c r="E1193" s="49"/>
      <c r="F1193" s="49"/>
      <c r="G1193" s="90"/>
      <c r="H1193" s="90"/>
      <c r="I1193" s="90"/>
      <c r="J1193" s="239"/>
      <c r="K1193" s="239"/>
      <c r="L1193" s="239"/>
      <c r="M1193" s="239"/>
      <c r="N1193" s="239"/>
      <c r="O1193" s="239"/>
      <c r="P1193" s="239"/>
      <c r="Q1193" s="239"/>
      <c r="R1193" s="239"/>
      <c r="S1193" s="239"/>
      <c r="T1193" s="239"/>
    </row>
    <row r="1194" spans="1:20" s="82" customFormat="1" x14ac:dyDescent="0.25">
      <c r="A1194" s="20"/>
      <c r="B1194" s="186"/>
      <c r="C1194" s="49"/>
      <c r="D1194" s="49"/>
      <c r="E1194" s="49"/>
      <c r="F1194" s="49"/>
      <c r="G1194" s="90"/>
      <c r="H1194" s="90"/>
      <c r="I1194" s="90"/>
      <c r="J1194" s="239"/>
      <c r="K1194" s="239"/>
      <c r="L1194" s="239"/>
      <c r="M1194" s="239"/>
      <c r="N1194" s="239"/>
      <c r="O1194" s="239"/>
      <c r="P1194" s="239"/>
      <c r="Q1194" s="239"/>
      <c r="R1194" s="239"/>
      <c r="S1194" s="239"/>
      <c r="T1194" s="239"/>
    </row>
    <row r="1195" spans="1:20" s="82" customFormat="1" x14ac:dyDescent="0.25">
      <c r="A1195" s="20"/>
      <c r="B1195" s="186"/>
      <c r="C1195" s="49"/>
      <c r="D1195" s="49"/>
      <c r="E1195" s="49"/>
      <c r="F1195" s="49"/>
      <c r="G1195" s="90"/>
      <c r="H1195" s="90"/>
      <c r="I1195" s="90"/>
      <c r="J1195" s="239"/>
      <c r="K1195" s="239"/>
      <c r="L1195" s="239"/>
      <c r="M1195" s="239"/>
      <c r="N1195" s="239"/>
      <c r="O1195" s="239"/>
      <c r="P1195" s="239"/>
      <c r="Q1195" s="239"/>
      <c r="R1195" s="239"/>
      <c r="S1195" s="239"/>
      <c r="T1195" s="239"/>
    </row>
    <row r="1196" spans="1:20" s="82" customFormat="1" x14ac:dyDescent="0.25">
      <c r="A1196" s="20"/>
      <c r="B1196" s="186"/>
      <c r="C1196" s="49"/>
      <c r="D1196" s="49"/>
      <c r="E1196" s="49"/>
      <c r="F1196" s="49"/>
      <c r="G1196" s="90"/>
      <c r="H1196" s="90"/>
      <c r="I1196" s="90"/>
      <c r="J1196" s="239"/>
      <c r="K1196" s="239"/>
      <c r="L1196" s="239"/>
      <c r="M1196" s="239"/>
      <c r="N1196" s="239"/>
      <c r="O1196" s="239"/>
      <c r="P1196" s="239"/>
      <c r="Q1196" s="239"/>
      <c r="R1196" s="239"/>
      <c r="S1196" s="239"/>
      <c r="T1196" s="239"/>
    </row>
    <row r="1197" spans="1:20" s="82" customFormat="1" x14ac:dyDescent="0.25">
      <c r="A1197" s="20"/>
      <c r="B1197" s="186"/>
      <c r="C1197" s="49"/>
      <c r="D1197" s="49"/>
      <c r="E1197" s="49"/>
      <c r="F1197" s="49"/>
      <c r="G1197" s="90"/>
      <c r="H1197" s="90"/>
      <c r="I1197" s="90"/>
      <c r="J1197" s="239"/>
      <c r="K1197" s="239"/>
      <c r="L1197" s="239"/>
      <c r="M1197" s="239"/>
      <c r="N1197" s="239"/>
      <c r="O1197" s="239"/>
      <c r="P1197" s="239"/>
      <c r="Q1197" s="239"/>
      <c r="R1197" s="239"/>
      <c r="S1197" s="239"/>
      <c r="T1197" s="239"/>
    </row>
    <row r="1198" spans="1:20" s="82" customFormat="1" x14ac:dyDescent="0.25">
      <c r="A1198" s="20"/>
      <c r="B1198" s="186"/>
      <c r="C1198" s="49"/>
      <c r="D1198" s="49"/>
      <c r="E1198" s="49"/>
      <c r="F1198" s="49"/>
      <c r="G1198" s="90"/>
      <c r="H1198" s="90"/>
      <c r="I1198" s="90"/>
      <c r="J1198" s="239"/>
      <c r="K1198" s="239"/>
      <c r="L1198" s="239"/>
      <c r="M1198" s="239"/>
      <c r="N1198" s="239"/>
      <c r="O1198" s="239"/>
      <c r="P1198" s="239"/>
      <c r="Q1198" s="239"/>
      <c r="R1198" s="239"/>
      <c r="S1198" s="239"/>
      <c r="T1198" s="239"/>
    </row>
    <row r="1199" spans="1:20" s="82" customFormat="1" x14ac:dyDescent="0.25">
      <c r="A1199" s="20"/>
      <c r="B1199" s="186"/>
      <c r="C1199" s="49"/>
      <c r="D1199" s="49"/>
      <c r="E1199" s="49"/>
      <c r="F1199" s="49"/>
      <c r="G1199" s="90"/>
      <c r="H1199" s="90"/>
      <c r="I1199" s="90"/>
      <c r="J1199" s="239"/>
      <c r="K1199" s="239"/>
      <c r="L1199" s="239"/>
      <c r="M1199" s="239"/>
      <c r="N1199" s="239"/>
      <c r="O1199" s="239"/>
      <c r="P1199" s="239"/>
      <c r="Q1199" s="239"/>
      <c r="R1199" s="239"/>
      <c r="S1199" s="239"/>
      <c r="T1199" s="239"/>
    </row>
    <row r="1200" spans="1:20" s="82" customFormat="1" x14ac:dyDescent="0.25">
      <c r="A1200" s="20"/>
      <c r="B1200" s="186"/>
      <c r="C1200" s="49"/>
      <c r="D1200" s="49"/>
      <c r="E1200" s="49"/>
      <c r="F1200" s="49"/>
      <c r="G1200" s="90"/>
      <c r="H1200" s="90"/>
      <c r="I1200" s="90"/>
      <c r="J1200" s="239"/>
      <c r="K1200" s="239"/>
      <c r="L1200" s="239"/>
      <c r="M1200" s="239"/>
      <c r="N1200" s="239"/>
      <c r="O1200" s="239"/>
      <c r="P1200" s="239"/>
      <c r="Q1200" s="239"/>
      <c r="R1200" s="239"/>
      <c r="S1200" s="239"/>
      <c r="T1200" s="239"/>
    </row>
    <row r="1201" spans="1:20" s="82" customFormat="1" x14ac:dyDescent="0.25">
      <c r="A1201" s="20"/>
      <c r="B1201" s="186"/>
      <c r="C1201" s="49"/>
      <c r="D1201" s="49"/>
      <c r="E1201" s="49"/>
      <c r="F1201" s="49"/>
      <c r="G1201" s="90"/>
      <c r="H1201" s="90"/>
      <c r="I1201" s="90"/>
      <c r="J1201" s="239"/>
      <c r="K1201" s="239"/>
      <c r="L1201" s="239"/>
      <c r="M1201" s="239"/>
      <c r="N1201" s="239"/>
      <c r="O1201" s="239"/>
      <c r="P1201" s="239"/>
      <c r="Q1201" s="239"/>
      <c r="R1201" s="239"/>
      <c r="S1201" s="239"/>
      <c r="T1201" s="239"/>
    </row>
    <row r="1202" spans="1:20" s="82" customFormat="1" x14ac:dyDescent="0.25">
      <c r="A1202" s="20"/>
      <c r="B1202" s="186"/>
      <c r="C1202" s="49"/>
      <c r="D1202" s="49"/>
      <c r="E1202" s="49"/>
      <c r="F1202" s="49"/>
      <c r="G1202" s="90"/>
      <c r="H1202" s="90"/>
      <c r="I1202" s="90"/>
      <c r="J1202" s="239"/>
      <c r="K1202" s="239"/>
      <c r="L1202" s="239"/>
      <c r="M1202" s="239"/>
      <c r="N1202" s="239"/>
      <c r="O1202" s="239"/>
      <c r="P1202" s="239"/>
      <c r="Q1202" s="239"/>
      <c r="R1202" s="239"/>
      <c r="S1202" s="239"/>
      <c r="T1202" s="239"/>
    </row>
    <row r="1203" spans="1:20" s="82" customFormat="1" x14ac:dyDescent="0.25">
      <c r="A1203" s="20"/>
      <c r="B1203" s="186"/>
      <c r="C1203" s="49"/>
      <c r="D1203" s="49"/>
      <c r="E1203" s="49"/>
      <c r="F1203" s="49"/>
      <c r="G1203" s="90"/>
      <c r="H1203" s="90"/>
      <c r="I1203" s="90"/>
      <c r="J1203" s="239"/>
      <c r="K1203" s="239"/>
      <c r="L1203" s="239"/>
      <c r="M1203" s="239"/>
      <c r="N1203" s="239"/>
      <c r="O1203" s="239"/>
      <c r="P1203" s="239"/>
      <c r="Q1203" s="239"/>
      <c r="R1203" s="239"/>
      <c r="S1203" s="239"/>
      <c r="T1203" s="239"/>
    </row>
    <row r="1204" spans="1:20" s="82" customFormat="1" x14ac:dyDescent="0.25">
      <c r="A1204" s="20"/>
      <c r="B1204" s="186"/>
      <c r="C1204" s="49"/>
      <c r="D1204" s="49"/>
      <c r="E1204" s="49"/>
      <c r="F1204" s="49"/>
      <c r="G1204" s="90"/>
      <c r="H1204" s="90"/>
      <c r="I1204" s="90"/>
      <c r="J1204" s="239"/>
      <c r="K1204" s="239"/>
      <c r="L1204" s="239"/>
      <c r="M1204" s="239"/>
      <c r="N1204" s="239"/>
      <c r="O1204" s="239"/>
      <c r="P1204" s="239"/>
      <c r="Q1204" s="239"/>
      <c r="R1204" s="239"/>
      <c r="S1204" s="239"/>
      <c r="T1204" s="239"/>
    </row>
    <row r="1205" spans="1:20" s="82" customFormat="1" x14ac:dyDescent="0.25">
      <c r="A1205" s="20"/>
      <c r="B1205" s="186"/>
      <c r="C1205" s="49"/>
      <c r="D1205" s="49"/>
      <c r="E1205" s="49"/>
      <c r="F1205" s="49"/>
      <c r="G1205" s="90"/>
      <c r="H1205" s="90"/>
      <c r="I1205" s="90"/>
      <c r="J1205" s="239"/>
      <c r="K1205" s="239"/>
      <c r="L1205" s="239"/>
      <c r="M1205" s="239"/>
      <c r="N1205" s="239"/>
      <c r="O1205" s="239"/>
      <c r="P1205" s="239"/>
      <c r="Q1205" s="239"/>
      <c r="R1205" s="239"/>
      <c r="S1205" s="239"/>
      <c r="T1205" s="239"/>
    </row>
    <row r="1206" spans="1:20" s="82" customFormat="1" x14ac:dyDescent="0.25">
      <c r="A1206" s="20"/>
      <c r="B1206" s="186"/>
      <c r="C1206" s="49"/>
      <c r="D1206" s="49"/>
      <c r="E1206" s="49"/>
      <c r="F1206" s="49"/>
      <c r="G1206" s="90"/>
      <c r="H1206" s="90"/>
      <c r="I1206" s="90"/>
      <c r="J1206" s="239"/>
      <c r="K1206" s="239"/>
      <c r="L1206" s="239"/>
      <c r="M1206" s="239"/>
      <c r="N1206" s="239"/>
      <c r="O1206" s="239"/>
      <c r="P1206" s="239"/>
      <c r="Q1206" s="239"/>
      <c r="R1206" s="239"/>
      <c r="S1206" s="239"/>
      <c r="T1206" s="239"/>
    </row>
    <row r="1207" spans="1:20" s="82" customFormat="1" x14ac:dyDescent="0.25">
      <c r="A1207" s="20"/>
      <c r="B1207" s="186"/>
      <c r="C1207" s="49"/>
      <c r="D1207" s="49"/>
      <c r="E1207" s="49"/>
      <c r="F1207" s="49"/>
      <c r="G1207" s="90"/>
      <c r="H1207" s="90"/>
      <c r="I1207" s="90"/>
      <c r="J1207" s="239"/>
      <c r="K1207" s="239"/>
      <c r="L1207" s="239"/>
      <c r="M1207" s="239"/>
      <c r="N1207" s="239"/>
      <c r="O1207" s="239"/>
      <c r="P1207" s="239"/>
      <c r="Q1207" s="239"/>
      <c r="R1207" s="239"/>
      <c r="S1207" s="239"/>
      <c r="T1207" s="239"/>
    </row>
    <row r="1208" spans="1:20" s="82" customFormat="1" x14ac:dyDescent="0.25">
      <c r="A1208" s="20"/>
      <c r="B1208" s="186"/>
      <c r="C1208" s="49"/>
      <c r="D1208" s="49"/>
      <c r="E1208" s="49"/>
      <c r="F1208" s="49"/>
      <c r="G1208" s="90"/>
      <c r="H1208" s="90"/>
      <c r="I1208" s="90"/>
      <c r="J1208" s="239"/>
      <c r="K1208" s="239"/>
      <c r="L1208" s="239"/>
      <c r="M1208" s="239"/>
      <c r="N1208" s="239"/>
      <c r="O1208" s="239"/>
      <c r="P1208" s="239"/>
      <c r="Q1208" s="239"/>
      <c r="R1208" s="239"/>
      <c r="S1208" s="239"/>
      <c r="T1208" s="239"/>
    </row>
    <row r="1209" spans="1:20" s="82" customFormat="1" x14ac:dyDescent="0.25">
      <c r="A1209" s="20"/>
      <c r="B1209" s="186"/>
      <c r="C1209" s="49"/>
      <c r="D1209" s="49"/>
      <c r="E1209" s="49"/>
      <c r="F1209" s="49"/>
      <c r="G1209" s="90"/>
      <c r="H1209" s="90"/>
      <c r="I1209" s="90"/>
      <c r="J1209" s="239"/>
      <c r="K1209" s="239"/>
      <c r="L1209" s="239"/>
      <c r="M1209" s="239"/>
      <c r="N1209" s="239"/>
      <c r="O1209" s="239"/>
      <c r="P1209" s="239"/>
      <c r="Q1209" s="239"/>
      <c r="R1209" s="239"/>
      <c r="S1209" s="239"/>
      <c r="T1209" s="239"/>
    </row>
  </sheetData>
  <mergeCells count="11">
    <mergeCell ref="G2:I2"/>
    <mergeCell ref="G5:I5"/>
    <mergeCell ref="N15:O15"/>
    <mergeCell ref="A15:I15"/>
    <mergeCell ref="A16:G16"/>
    <mergeCell ref="G12:I12"/>
    <mergeCell ref="J17:L17"/>
    <mergeCell ref="G9:I9"/>
    <mergeCell ref="D13:G13"/>
    <mergeCell ref="A14:I14"/>
    <mergeCell ref="J12:L12"/>
  </mergeCells>
  <phoneticPr fontId="4" type="noConversion"/>
  <pageMargins left="0.98425196850393704" right="0.27559055118110237" top="0.59055118110236227" bottom="0.19685039370078741" header="0.15748031496062992" footer="0.15748031496062992"/>
  <pageSetup paperSize="9" scale="6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1487"/>
  <sheetViews>
    <sheetView zoomScale="89" zoomScaleNormal="89" workbookViewId="0">
      <selection activeCell="G1" sqref="G1:I1048576"/>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hidden="1" customWidth="1"/>
    <col min="8" max="8" width="13" style="84" hidden="1" customWidth="1"/>
    <col min="9" max="9" width="17" style="84" hidden="1" customWidth="1"/>
    <col min="10" max="10" width="14.5" style="84" customWidth="1"/>
    <col min="11" max="11" width="13.75" style="84" customWidth="1"/>
    <col min="12" max="12" width="16" style="208" customWidth="1"/>
    <col min="13" max="13" width="13.875" style="208" customWidth="1"/>
    <col min="14" max="14" width="13.5" style="208" customWidth="1"/>
    <col min="15" max="15" width="13.625" style="84" bestFit="1" customWidth="1"/>
    <col min="16" max="16" width="13.25" style="84" customWidth="1"/>
    <col min="17" max="17" width="15.5" style="84" customWidth="1"/>
    <col min="18" max="16384" width="9" style="84"/>
  </cols>
  <sheetData>
    <row r="3" spans="1:6" x14ac:dyDescent="0.25">
      <c r="D3" s="27" t="s">
        <v>596</v>
      </c>
      <c r="E3" s="27"/>
      <c r="F3" s="27"/>
    </row>
    <row r="4" spans="1:6" x14ac:dyDescent="0.25">
      <c r="D4" s="27" t="s">
        <v>52</v>
      </c>
      <c r="E4" s="27"/>
      <c r="F4" s="27"/>
    </row>
    <row r="5" spans="1:6" x14ac:dyDescent="0.25">
      <c r="D5" s="139" t="s">
        <v>38</v>
      </c>
      <c r="E5" s="139"/>
      <c r="F5" s="139"/>
    </row>
    <row r="6" spans="1:6" x14ac:dyDescent="0.25">
      <c r="D6" s="247" t="s">
        <v>1029</v>
      </c>
      <c r="E6" s="247"/>
      <c r="F6" s="247"/>
    </row>
    <row r="8" spans="1:6" ht="25.5" customHeight="1" x14ac:dyDescent="0.25"/>
    <row r="9" spans="1:6" x14ac:dyDescent="0.25">
      <c r="D9" s="27" t="s">
        <v>596</v>
      </c>
      <c r="E9" s="27"/>
      <c r="F9" s="27"/>
    </row>
    <row r="10" spans="1:6" x14ac:dyDescent="0.25">
      <c r="D10" s="27" t="s">
        <v>52</v>
      </c>
      <c r="E10" s="27"/>
      <c r="F10" s="27"/>
    </row>
    <row r="11" spans="1:6" x14ac:dyDescent="0.25">
      <c r="D11" s="139" t="s">
        <v>38</v>
      </c>
      <c r="E11" s="139"/>
      <c r="F11" s="139"/>
    </row>
    <row r="12" spans="1:6" ht="15.75" customHeight="1" x14ac:dyDescent="0.25">
      <c r="D12" s="247" t="s">
        <v>946</v>
      </c>
      <c r="E12" s="247"/>
      <c r="F12" s="247"/>
    </row>
    <row r="14" spans="1:6" x14ac:dyDescent="0.25">
      <c r="C14" s="196"/>
      <c r="D14" s="196"/>
      <c r="E14" s="196"/>
      <c r="F14" s="196"/>
    </row>
    <row r="15" spans="1:6" x14ac:dyDescent="0.25">
      <c r="A15" s="250" t="s">
        <v>292</v>
      </c>
      <c r="B15" s="250"/>
      <c r="C15" s="250"/>
      <c r="D15" s="250"/>
      <c r="E15" s="250"/>
      <c r="F15" s="250"/>
    </row>
    <row r="16" spans="1:6" x14ac:dyDescent="0.25">
      <c r="A16" s="250" t="s">
        <v>303</v>
      </c>
      <c r="B16" s="250"/>
      <c r="C16" s="250"/>
      <c r="D16" s="250"/>
      <c r="E16" s="250"/>
      <c r="F16" s="250"/>
    </row>
    <row r="17" spans="1:14" x14ac:dyDescent="0.25">
      <c r="A17" s="250" t="s">
        <v>293</v>
      </c>
      <c r="B17" s="250"/>
      <c r="C17" s="250"/>
      <c r="D17" s="250"/>
      <c r="E17" s="250"/>
      <c r="F17" s="250"/>
    </row>
    <row r="18" spans="1:14" x14ac:dyDescent="0.25">
      <c r="A18" s="250" t="s">
        <v>877</v>
      </c>
      <c r="B18" s="250"/>
      <c r="C18" s="250"/>
      <c r="D18" s="250"/>
      <c r="E18" s="250"/>
      <c r="F18" s="250"/>
    </row>
    <row r="19" spans="1:14" ht="15.75" customHeight="1" x14ac:dyDescent="0.3">
      <c r="F19" s="70" t="s">
        <v>39</v>
      </c>
      <c r="G19" s="22"/>
    </row>
    <row r="20" spans="1:14" s="43" customFormat="1" ht="31.5" customHeight="1" x14ac:dyDescent="0.2">
      <c r="A20" s="71" t="s">
        <v>0</v>
      </c>
      <c r="B20" s="71" t="s">
        <v>2</v>
      </c>
      <c r="C20" s="71" t="s">
        <v>45</v>
      </c>
      <c r="D20" s="105" t="s">
        <v>666</v>
      </c>
      <c r="E20" s="191" t="s">
        <v>687</v>
      </c>
      <c r="F20" s="191" t="s">
        <v>876</v>
      </c>
      <c r="G20" s="251" t="s">
        <v>548</v>
      </c>
      <c r="H20" s="252"/>
      <c r="I20" s="252"/>
      <c r="L20" s="37"/>
      <c r="M20" s="37"/>
      <c r="N20" s="37"/>
    </row>
    <row r="21" spans="1:14" s="43" customFormat="1" ht="12.75" x14ac:dyDescent="0.2">
      <c r="A21" s="72" t="s">
        <v>46</v>
      </c>
      <c r="B21" s="73"/>
      <c r="C21" s="73"/>
      <c r="D21" s="116">
        <f>D22+D32+D40+D63+D252+D256+D330+D357+D368+D379+D390+D482+D499+D515+D533+D591+D619+D641+D678+D688+D698+D710+D714+D721+D730+D734+D748+D753+D768+D789</f>
        <v>6884693.6000000015</v>
      </c>
      <c r="E21" s="116">
        <f>E22+E32+E40+E63+E252+E256+E330+E357+E368+E379+E390+E482+E499+E515+E533+E591+E619+E641+E678+E688+E698+E710+E714+E721+E730+E734+E748+E753+E768+E789</f>
        <v>5960367.5</v>
      </c>
      <c r="F21" s="116">
        <f>F22+F32+F40+F63+F252+F256+F330+F357+F368+F379+F390+F482+F499+F515+F533+F591+F619+F641+F678+F688+F698+F710+F714+F721+F730+F734+F748+F753+F768+F789</f>
        <v>6129282.9000000022</v>
      </c>
      <c r="G21" s="197">
        <f>'ведомств. стр. 2025-2027'!G19</f>
        <v>6884693.6000000006</v>
      </c>
      <c r="H21" s="197">
        <f>'ведомств. стр. 2025-2027'!H19</f>
        <v>5960367.4999999991</v>
      </c>
      <c r="I21" s="197">
        <f>'ведомств. стр. 2025-2027'!I19</f>
        <v>6129282.9000000004</v>
      </c>
      <c r="L21" s="37"/>
      <c r="M21" s="37"/>
      <c r="N21" s="37"/>
    </row>
    <row r="22" spans="1:14" s="43" customFormat="1" ht="39.75" customHeight="1" x14ac:dyDescent="0.2">
      <c r="A22" s="145" t="s">
        <v>387</v>
      </c>
      <c r="B22" s="80" t="s">
        <v>204</v>
      </c>
      <c r="C22" s="80"/>
      <c r="D22" s="117">
        <f>D23+D27</f>
        <v>5279.5</v>
      </c>
      <c r="E22" s="117">
        <f t="shared" ref="E22:F22" si="0">E23+E27</f>
        <v>5464.7</v>
      </c>
      <c r="F22" s="117">
        <f t="shared" si="0"/>
        <v>5657.3</v>
      </c>
      <c r="G22" s="199">
        <f>D21-G21</f>
        <v>0</v>
      </c>
      <c r="H22" s="199">
        <f t="shared" ref="H22:I22" si="1">E21-H21</f>
        <v>0</v>
      </c>
      <c r="I22" s="199">
        <f t="shared" si="1"/>
        <v>0</v>
      </c>
      <c r="L22" s="209"/>
      <c r="M22" s="209"/>
      <c r="N22" s="209"/>
    </row>
    <row r="23" spans="1:14" s="43" customFormat="1" ht="27" x14ac:dyDescent="0.2">
      <c r="A23" s="164" t="s">
        <v>769</v>
      </c>
      <c r="B23" s="111" t="s">
        <v>388</v>
      </c>
      <c r="C23" s="111"/>
      <c r="D23" s="118">
        <f>D24</f>
        <v>500</v>
      </c>
      <c r="E23" s="118">
        <f t="shared" ref="E23:F25" si="2">E24</f>
        <v>500</v>
      </c>
      <c r="F23" s="118">
        <f t="shared" si="2"/>
        <v>500</v>
      </c>
      <c r="G23" s="106"/>
      <c r="H23" s="26"/>
      <c r="I23" s="26"/>
      <c r="L23" s="37"/>
      <c r="M23" s="37"/>
      <c r="N23" s="37"/>
    </row>
    <row r="24" spans="1:14" s="43" customFormat="1" ht="25.5" x14ac:dyDescent="0.2">
      <c r="A24" s="146" t="s">
        <v>814</v>
      </c>
      <c r="B24" s="73" t="s">
        <v>389</v>
      </c>
      <c r="C24" s="73"/>
      <c r="D24" s="116">
        <f>D25</f>
        <v>500</v>
      </c>
      <c r="E24" s="116">
        <f t="shared" si="2"/>
        <v>500</v>
      </c>
      <c r="F24" s="116">
        <f t="shared" si="2"/>
        <v>500</v>
      </c>
      <c r="G24" s="106"/>
      <c r="H24" s="26"/>
      <c r="I24" s="26"/>
      <c r="L24" s="37"/>
      <c r="M24" s="37"/>
      <c r="N24" s="37"/>
    </row>
    <row r="25" spans="1:14" s="43" customFormat="1" ht="38.25" x14ac:dyDescent="0.2">
      <c r="A25" s="24" t="s">
        <v>643</v>
      </c>
      <c r="B25" s="75" t="s">
        <v>390</v>
      </c>
      <c r="C25" s="73"/>
      <c r="D25" s="119">
        <f>D26</f>
        <v>500</v>
      </c>
      <c r="E25" s="119">
        <f t="shared" si="2"/>
        <v>500</v>
      </c>
      <c r="F25" s="119">
        <f t="shared" si="2"/>
        <v>500</v>
      </c>
      <c r="G25" s="106"/>
      <c r="H25" s="26"/>
      <c r="I25" s="26"/>
      <c r="L25" s="37"/>
      <c r="M25" s="37"/>
      <c r="N25" s="37"/>
    </row>
    <row r="26" spans="1:14" s="43" customFormat="1" ht="12.75" x14ac:dyDescent="0.2">
      <c r="A26" s="24" t="s">
        <v>95</v>
      </c>
      <c r="B26" s="75" t="s">
        <v>390</v>
      </c>
      <c r="C26" s="75" t="s">
        <v>62</v>
      </c>
      <c r="D26" s="119">
        <f>'ведомств. стр. 2025-2027'!G601</f>
        <v>500</v>
      </c>
      <c r="E26" s="119">
        <f>'ведомств. стр. 2025-2027'!H601</f>
        <v>500</v>
      </c>
      <c r="F26" s="119">
        <f>'ведомств. стр. 2025-2027'!I601</f>
        <v>500</v>
      </c>
      <c r="G26" s="106"/>
      <c r="H26" s="26"/>
      <c r="I26" s="26"/>
      <c r="L26" s="37"/>
      <c r="M26" s="37"/>
      <c r="N26" s="37"/>
    </row>
    <row r="27" spans="1:14" s="43" customFormat="1" ht="13.5" x14ac:dyDescent="0.2">
      <c r="A27" s="112" t="s">
        <v>770</v>
      </c>
      <c r="B27" s="111" t="s">
        <v>391</v>
      </c>
      <c r="C27" s="111"/>
      <c r="D27" s="118">
        <f>D28</f>
        <v>4779.5</v>
      </c>
      <c r="E27" s="118">
        <f>E28</f>
        <v>4964.7</v>
      </c>
      <c r="F27" s="118">
        <f>F28</f>
        <v>5157.3</v>
      </c>
      <c r="G27" s="106"/>
      <c r="H27" s="26"/>
      <c r="I27" s="26"/>
      <c r="L27" s="37"/>
      <c r="M27" s="37"/>
      <c r="N27" s="37"/>
    </row>
    <row r="28" spans="1:14" s="43" customFormat="1" ht="12.75" x14ac:dyDescent="0.2">
      <c r="A28" s="72" t="s">
        <v>815</v>
      </c>
      <c r="B28" s="73" t="s">
        <v>392</v>
      </c>
      <c r="C28" s="73"/>
      <c r="D28" s="116">
        <f>D29</f>
        <v>4779.5</v>
      </c>
      <c r="E28" s="116">
        <f t="shared" ref="E28:F28" si="3">E29</f>
        <v>4964.7</v>
      </c>
      <c r="F28" s="116">
        <f t="shared" si="3"/>
        <v>5157.3</v>
      </c>
      <c r="G28" s="106"/>
      <c r="H28" s="26"/>
      <c r="I28" s="26"/>
      <c r="L28" s="37"/>
      <c r="M28" s="37"/>
      <c r="N28" s="37"/>
    </row>
    <row r="29" spans="1:14" s="43" customFormat="1" ht="12.75" x14ac:dyDescent="0.2">
      <c r="A29" s="24" t="s">
        <v>138</v>
      </c>
      <c r="B29" s="75" t="s">
        <v>393</v>
      </c>
      <c r="C29" s="75"/>
      <c r="D29" s="119">
        <f>D30+D31</f>
        <v>4779.5</v>
      </c>
      <c r="E29" s="119">
        <f t="shared" ref="E29:F29" si="4">E30+E31</f>
        <v>4964.7</v>
      </c>
      <c r="F29" s="119">
        <f t="shared" si="4"/>
        <v>5157.3</v>
      </c>
      <c r="G29" s="106"/>
      <c r="H29" s="26"/>
      <c r="I29" s="26"/>
      <c r="L29" s="37"/>
      <c r="M29" s="37"/>
      <c r="N29" s="37"/>
    </row>
    <row r="30" spans="1:14" s="43" customFormat="1" ht="38.25" x14ac:dyDescent="0.2">
      <c r="A30" s="24" t="s">
        <v>225</v>
      </c>
      <c r="B30" s="75" t="s">
        <v>393</v>
      </c>
      <c r="C30" s="75" t="s">
        <v>66</v>
      </c>
      <c r="D30" s="119">
        <f>'ведомств. стр. 2025-2027'!G605</f>
        <v>4628.3</v>
      </c>
      <c r="E30" s="119">
        <f>'ведомств. стр. 2025-2027'!H605</f>
        <v>4813.5</v>
      </c>
      <c r="F30" s="119">
        <f>'ведомств. стр. 2025-2027'!I605</f>
        <v>5006.1000000000004</v>
      </c>
      <c r="G30" s="106"/>
      <c r="H30" s="26"/>
      <c r="I30" s="26"/>
      <c r="L30" s="37"/>
      <c r="M30" s="37"/>
      <c r="N30" s="37"/>
    </row>
    <row r="31" spans="1:14" s="43" customFormat="1" ht="25.5" x14ac:dyDescent="0.2">
      <c r="A31" s="24" t="s">
        <v>226</v>
      </c>
      <c r="B31" s="75" t="s">
        <v>393</v>
      </c>
      <c r="C31" s="75" t="s">
        <v>59</v>
      </c>
      <c r="D31" s="119">
        <f>'ведомств. стр. 2025-2027'!G606</f>
        <v>151.19999999999999</v>
      </c>
      <c r="E31" s="119">
        <f>'ведомств. стр. 2025-2027'!H606</f>
        <v>151.19999999999999</v>
      </c>
      <c r="F31" s="119">
        <f>'ведомств. стр. 2025-2027'!I606</f>
        <v>151.19999999999999</v>
      </c>
      <c r="G31" s="106"/>
      <c r="H31" s="26"/>
      <c r="I31" s="26"/>
      <c r="L31" s="37"/>
      <c r="M31" s="37"/>
      <c r="N31" s="37"/>
    </row>
    <row r="32" spans="1:14" s="96" customFormat="1" ht="29.25" customHeight="1" x14ac:dyDescent="0.2">
      <c r="A32" s="81" t="s">
        <v>482</v>
      </c>
      <c r="B32" s="80" t="s">
        <v>130</v>
      </c>
      <c r="C32" s="80"/>
      <c r="D32" s="117">
        <f>D33+D36</f>
        <v>102777.5</v>
      </c>
      <c r="E32" s="117">
        <f t="shared" ref="E32:F32" si="5">E33+E36</f>
        <v>50000</v>
      </c>
      <c r="F32" s="117">
        <f t="shared" si="5"/>
        <v>32968.6</v>
      </c>
      <c r="L32" s="209"/>
      <c r="M32" s="209"/>
      <c r="N32" s="209"/>
    </row>
    <row r="33" spans="1:14" s="96" customFormat="1" ht="25.5" x14ac:dyDescent="0.2">
      <c r="A33" s="72" t="s">
        <v>822</v>
      </c>
      <c r="B33" s="73" t="s">
        <v>339</v>
      </c>
      <c r="C33" s="44"/>
      <c r="D33" s="116">
        <f>D34</f>
        <v>50000</v>
      </c>
      <c r="E33" s="116">
        <f t="shared" ref="D33:F34" si="6">E34</f>
        <v>50000</v>
      </c>
      <c r="F33" s="116">
        <f>F34</f>
        <v>32968.6</v>
      </c>
      <c r="L33" s="210"/>
      <c r="M33" s="210"/>
      <c r="N33" s="210"/>
    </row>
    <row r="34" spans="1:14" s="96" customFormat="1" ht="38.25" x14ac:dyDescent="0.2">
      <c r="A34" s="24" t="s">
        <v>340</v>
      </c>
      <c r="B34" s="75" t="s">
        <v>341</v>
      </c>
      <c r="C34" s="48"/>
      <c r="D34" s="119">
        <f t="shared" si="6"/>
        <v>50000</v>
      </c>
      <c r="E34" s="119">
        <f t="shared" si="6"/>
        <v>50000</v>
      </c>
      <c r="F34" s="119">
        <f t="shared" si="6"/>
        <v>32968.6</v>
      </c>
      <c r="L34" s="210"/>
      <c r="M34" s="210"/>
      <c r="N34" s="210"/>
    </row>
    <row r="35" spans="1:14" s="96" customFormat="1" ht="25.5" x14ac:dyDescent="0.2">
      <c r="A35" s="24" t="s">
        <v>226</v>
      </c>
      <c r="B35" s="75" t="s">
        <v>341</v>
      </c>
      <c r="C35" s="48" t="s">
        <v>59</v>
      </c>
      <c r="D35" s="119">
        <f>'ведомств. стр. 2025-2027'!G710</f>
        <v>50000</v>
      </c>
      <c r="E35" s="119">
        <f>'ведомств. стр. 2025-2027'!H710</f>
        <v>50000</v>
      </c>
      <c r="F35" s="119">
        <f>'ведомств. стр. 2025-2027'!I710</f>
        <v>32968.6</v>
      </c>
      <c r="L35" s="210"/>
      <c r="M35" s="210"/>
      <c r="N35" s="210"/>
    </row>
    <row r="36" spans="1:14" s="231" customFormat="1" ht="25.5" x14ac:dyDescent="0.2">
      <c r="A36" s="72" t="s">
        <v>985</v>
      </c>
      <c r="B36" s="73" t="s">
        <v>984</v>
      </c>
      <c r="C36" s="73"/>
      <c r="D36" s="116">
        <f>D37</f>
        <v>52777.5</v>
      </c>
      <c r="E36" s="116">
        <f t="shared" ref="E36:F38" si="7">E37</f>
        <v>0</v>
      </c>
      <c r="F36" s="116">
        <f t="shared" si="7"/>
        <v>0</v>
      </c>
      <c r="L36" s="232"/>
      <c r="M36" s="232"/>
      <c r="N36" s="232"/>
    </row>
    <row r="37" spans="1:14" s="96" customFormat="1" ht="38.25" x14ac:dyDescent="0.2">
      <c r="A37" s="24" t="s">
        <v>986</v>
      </c>
      <c r="B37" s="75" t="s">
        <v>987</v>
      </c>
      <c r="C37" s="75"/>
      <c r="D37" s="119">
        <f>D38</f>
        <v>52777.5</v>
      </c>
      <c r="E37" s="119">
        <f t="shared" si="7"/>
        <v>0</v>
      </c>
      <c r="F37" s="119">
        <f t="shared" si="7"/>
        <v>0</v>
      </c>
      <c r="L37" s="210"/>
      <c r="M37" s="210"/>
      <c r="N37" s="210"/>
    </row>
    <row r="38" spans="1:14" s="96" customFormat="1" ht="63.75" x14ac:dyDescent="0.2">
      <c r="A38" s="24" t="s">
        <v>989</v>
      </c>
      <c r="B38" s="75" t="s">
        <v>988</v>
      </c>
      <c r="C38" s="75"/>
      <c r="D38" s="119">
        <f>D39</f>
        <v>52777.5</v>
      </c>
      <c r="E38" s="119">
        <f t="shared" si="7"/>
        <v>0</v>
      </c>
      <c r="F38" s="119">
        <f t="shared" si="7"/>
        <v>0</v>
      </c>
      <c r="L38" s="210"/>
      <c r="M38" s="210"/>
      <c r="N38" s="210"/>
    </row>
    <row r="39" spans="1:14" s="96" customFormat="1" ht="25.5" x14ac:dyDescent="0.2">
      <c r="A39" s="24" t="s">
        <v>226</v>
      </c>
      <c r="B39" s="75" t="s">
        <v>988</v>
      </c>
      <c r="C39" s="75" t="s">
        <v>59</v>
      </c>
      <c r="D39" s="119">
        <f>'ведомств. стр. 2025-2027'!G714</f>
        <v>52777.5</v>
      </c>
      <c r="E39" s="119">
        <f>'ведомств. стр. 2025-2027'!H714</f>
        <v>0</v>
      </c>
      <c r="F39" s="119">
        <f>'ведомств. стр. 2025-2027'!I714</f>
        <v>0</v>
      </c>
      <c r="L39" s="210"/>
      <c r="M39" s="210"/>
      <c r="N39" s="210"/>
    </row>
    <row r="40" spans="1:14" s="96" customFormat="1" ht="25.5" x14ac:dyDescent="0.2">
      <c r="A40" s="145" t="s">
        <v>546</v>
      </c>
      <c r="B40" s="80" t="s">
        <v>143</v>
      </c>
      <c r="C40" s="80"/>
      <c r="D40" s="117">
        <f>D41</f>
        <v>24523.200000000001</v>
      </c>
      <c r="E40" s="117">
        <f t="shared" ref="E40:F40" si="8">E41</f>
        <v>15641.3</v>
      </c>
      <c r="F40" s="117">
        <f t="shared" si="8"/>
        <v>21641.199999999997</v>
      </c>
      <c r="L40" s="211"/>
      <c r="M40" s="211"/>
      <c r="N40" s="211"/>
    </row>
    <row r="41" spans="1:14" s="96" customFormat="1" ht="36" customHeight="1" x14ac:dyDescent="0.2">
      <c r="A41" s="146" t="s">
        <v>809</v>
      </c>
      <c r="B41" s="73" t="s">
        <v>144</v>
      </c>
      <c r="C41" s="73"/>
      <c r="D41" s="116">
        <f>D42+D45+D47+D49+D51+D53+D55+D57+D59+D61</f>
        <v>24523.200000000001</v>
      </c>
      <c r="E41" s="116">
        <f t="shared" ref="E41:F41" si="9">E42+E45+E47+E49+E51+E53+E55+E57+E59+E61</f>
        <v>15641.3</v>
      </c>
      <c r="F41" s="116">
        <f t="shared" si="9"/>
        <v>21641.199999999997</v>
      </c>
      <c r="L41" s="210"/>
      <c r="M41" s="210"/>
      <c r="N41" s="210"/>
    </row>
    <row r="42" spans="1:14" s="96" customFormat="1" ht="15.75" customHeight="1" x14ac:dyDescent="0.2">
      <c r="A42" s="24" t="s">
        <v>344</v>
      </c>
      <c r="B42" s="75" t="s">
        <v>345</v>
      </c>
      <c r="C42" s="75"/>
      <c r="D42" s="119">
        <f>D43+D44</f>
        <v>6531.9</v>
      </c>
      <c r="E42" s="119">
        <f t="shared" ref="E42:F42" si="10">E43+E44</f>
        <v>0</v>
      </c>
      <c r="F42" s="119">
        <f t="shared" si="10"/>
        <v>5999.9</v>
      </c>
      <c r="L42" s="210"/>
      <c r="M42" s="210"/>
      <c r="N42" s="210"/>
    </row>
    <row r="43" spans="1:14" s="96" customFormat="1" ht="25.5" x14ac:dyDescent="0.2">
      <c r="A43" s="24" t="s">
        <v>226</v>
      </c>
      <c r="B43" s="75" t="s">
        <v>345</v>
      </c>
      <c r="C43" s="75" t="s">
        <v>59</v>
      </c>
      <c r="D43" s="119">
        <f>'ведомств. стр. 2025-2027'!G621+'ведомств. стр. 2025-2027'!G983</f>
        <v>4137</v>
      </c>
      <c r="E43" s="119">
        <f>'ведомств. стр. 2025-2027'!H621+'ведомств. стр. 2025-2027'!H983</f>
        <v>0</v>
      </c>
      <c r="F43" s="119">
        <f>'ведомств. стр. 2025-2027'!I621+'ведомств. стр. 2025-2027'!I983</f>
        <v>3500</v>
      </c>
      <c r="L43" s="210"/>
      <c r="M43" s="210"/>
      <c r="N43" s="210"/>
    </row>
    <row r="44" spans="1:14" s="96" customFormat="1" ht="25.5" x14ac:dyDescent="0.2">
      <c r="A44" s="24" t="s">
        <v>64</v>
      </c>
      <c r="B44" s="75" t="s">
        <v>345</v>
      </c>
      <c r="C44" s="75" t="s">
        <v>65</v>
      </c>
      <c r="D44" s="119">
        <f>'ведомств. стр. 2025-2027'!G69+'ведомств. стр. 2025-2027'!G324</f>
        <v>2394.9</v>
      </c>
      <c r="E44" s="119">
        <f>'ведомств. стр. 2025-2027'!H69+'ведомств. стр. 2025-2027'!H324</f>
        <v>0</v>
      </c>
      <c r="F44" s="119">
        <f>'ведомств. стр. 2025-2027'!I69+'ведомств. стр. 2025-2027'!I324</f>
        <v>2499.9</v>
      </c>
      <c r="L44" s="210"/>
      <c r="M44" s="210"/>
      <c r="N44" s="210"/>
    </row>
    <row r="45" spans="1:14" s="96" customFormat="1" ht="25.5" x14ac:dyDescent="0.2">
      <c r="A45" s="24" t="s">
        <v>271</v>
      </c>
      <c r="B45" s="75" t="s">
        <v>272</v>
      </c>
      <c r="C45" s="75"/>
      <c r="D45" s="119">
        <f>D46</f>
        <v>72.900000000000006</v>
      </c>
      <c r="E45" s="119">
        <f>E46</f>
        <v>72.900000000000006</v>
      </c>
      <c r="F45" s="119">
        <f>F46</f>
        <v>72.900000000000006</v>
      </c>
      <c r="L45" s="210"/>
      <c r="M45" s="210"/>
      <c r="N45" s="210"/>
    </row>
    <row r="46" spans="1:14" s="96" customFormat="1" ht="25.5" x14ac:dyDescent="0.2">
      <c r="A46" s="24" t="s">
        <v>226</v>
      </c>
      <c r="B46" s="75" t="s">
        <v>272</v>
      </c>
      <c r="C46" s="75" t="s">
        <v>59</v>
      </c>
      <c r="D46" s="119">
        <f>'ведомств. стр. 2025-2027'!G623</f>
        <v>72.900000000000006</v>
      </c>
      <c r="E46" s="119">
        <f>'ведомств. стр. 2025-2027'!H623</f>
        <v>72.900000000000006</v>
      </c>
      <c r="F46" s="119">
        <f>'ведомств. стр. 2025-2027'!I623</f>
        <v>72.900000000000006</v>
      </c>
      <c r="L46" s="210"/>
      <c r="M46" s="210"/>
      <c r="N46" s="210"/>
    </row>
    <row r="47" spans="1:14" s="96" customFormat="1" ht="25.5" x14ac:dyDescent="0.2">
      <c r="A47" s="24" t="s">
        <v>718</v>
      </c>
      <c r="B47" s="75" t="s">
        <v>717</v>
      </c>
      <c r="C47" s="75"/>
      <c r="D47" s="119">
        <f>D48</f>
        <v>3477.6</v>
      </c>
      <c r="E47" s="119">
        <f t="shared" ref="E47:F47" si="11">E48</f>
        <v>2000</v>
      </c>
      <c r="F47" s="119">
        <f t="shared" si="11"/>
        <v>2000</v>
      </c>
      <c r="L47" s="210"/>
      <c r="M47" s="210"/>
      <c r="N47" s="210"/>
    </row>
    <row r="48" spans="1:14" s="96" customFormat="1" ht="25.5" x14ac:dyDescent="0.2">
      <c r="A48" s="24" t="s">
        <v>226</v>
      </c>
      <c r="B48" s="75" t="s">
        <v>717</v>
      </c>
      <c r="C48" s="75" t="s">
        <v>59</v>
      </c>
      <c r="D48" s="119">
        <f>'ведомств. стр. 2025-2027'!G26+'ведомств. стр. 2025-2027'!G625</f>
        <v>3477.6</v>
      </c>
      <c r="E48" s="119">
        <f>'ведомств. стр. 2025-2027'!H26+'ведомств. стр. 2025-2027'!H625</f>
        <v>2000</v>
      </c>
      <c r="F48" s="119">
        <f>'ведомств. стр. 2025-2027'!I26+'ведомств. стр. 2025-2027'!I625</f>
        <v>2000</v>
      </c>
      <c r="L48" s="210"/>
      <c r="M48" s="210"/>
      <c r="N48" s="210"/>
    </row>
    <row r="49" spans="1:14" s="96" customFormat="1" ht="38.25" x14ac:dyDescent="0.2">
      <c r="A49" s="24" t="s">
        <v>483</v>
      </c>
      <c r="B49" s="75" t="s">
        <v>547</v>
      </c>
      <c r="C49" s="75"/>
      <c r="D49" s="119">
        <f>D50</f>
        <v>1909</v>
      </c>
      <c r="E49" s="119">
        <f t="shared" ref="E49:F49" si="12">E50</f>
        <v>1909</v>
      </c>
      <c r="F49" s="119">
        <f t="shared" si="12"/>
        <v>1909</v>
      </c>
      <c r="L49" s="210"/>
      <c r="M49" s="210"/>
      <c r="N49" s="210"/>
    </row>
    <row r="50" spans="1:14" s="96" customFormat="1" ht="25.5" x14ac:dyDescent="0.2">
      <c r="A50" s="24" t="s">
        <v>226</v>
      </c>
      <c r="B50" s="75" t="s">
        <v>547</v>
      </c>
      <c r="C50" s="75" t="s">
        <v>59</v>
      </c>
      <c r="D50" s="119">
        <f>'ведомств. стр. 2025-2027'!G527</f>
        <v>1909</v>
      </c>
      <c r="E50" s="119">
        <f>'ведомств. стр. 2025-2027'!H527</f>
        <v>1909</v>
      </c>
      <c r="F50" s="119">
        <f>'ведомств. стр. 2025-2027'!I527</f>
        <v>1909</v>
      </c>
      <c r="L50" s="210"/>
      <c r="M50" s="210"/>
      <c r="N50" s="210"/>
    </row>
    <row r="51" spans="1:14" s="96" customFormat="1" ht="12.75" x14ac:dyDescent="0.2">
      <c r="A51" s="24" t="s">
        <v>662</v>
      </c>
      <c r="B51" s="75" t="s">
        <v>661</v>
      </c>
      <c r="C51" s="75"/>
      <c r="D51" s="119">
        <f>D52</f>
        <v>1300</v>
      </c>
      <c r="E51" s="119">
        <f t="shared" ref="E51:F51" si="13">E52</f>
        <v>1500</v>
      </c>
      <c r="F51" s="119">
        <f t="shared" si="13"/>
        <v>1500</v>
      </c>
      <c r="L51" s="210"/>
      <c r="M51" s="210"/>
      <c r="N51" s="210"/>
    </row>
    <row r="52" spans="1:14" s="96" customFormat="1" ht="25.5" x14ac:dyDescent="0.2">
      <c r="A52" s="24" t="s">
        <v>226</v>
      </c>
      <c r="B52" s="75" t="s">
        <v>661</v>
      </c>
      <c r="C52" s="75" t="s">
        <v>59</v>
      </c>
      <c r="D52" s="119">
        <f>'ведомств. стр. 2025-2027'!G627</f>
        <v>1300</v>
      </c>
      <c r="E52" s="119">
        <f>'ведомств. стр. 2025-2027'!H627</f>
        <v>1500</v>
      </c>
      <c r="F52" s="119">
        <f>'ведомств. стр. 2025-2027'!I627</f>
        <v>1500</v>
      </c>
      <c r="L52" s="210"/>
      <c r="M52" s="210"/>
      <c r="N52" s="210"/>
    </row>
    <row r="53" spans="1:14" s="96" customFormat="1" ht="38.25" x14ac:dyDescent="0.2">
      <c r="A53" s="24" t="s">
        <v>710</v>
      </c>
      <c r="B53" s="75" t="s">
        <v>709</v>
      </c>
      <c r="C53" s="75"/>
      <c r="D53" s="119">
        <f>D54</f>
        <v>3431.7999999999997</v>
      </c>
      <c r="E53" s="119">
        <f t="shared" ref="E53:F53" si="14">E54</f>
        <v>2859.4</v>
      </c>
      <c r="F53" s="119">
        <f t="shared" si="14"/>
        <v>2859.4</v>
      </c>
      <c r="L53" s="210"/>
      <c r="M53" s="210"/>
      <c r="N53" s="210"/>
    </row>
    <row r="54" spans="1:14" s="96" customFormat="1" ht="25.5" x14ac:dyDescent="0.2">
      <c r="A54" s="24" t="s">
        <v>226</v>
      </c>
      <c r="B54" s="75" t="s">
        <v>709</v>
      </c>
      <c r="C54" s="75" t="s">
        <v>59</v>
      </c>
      <c r="D54" s="119">
        <f>'ведомств. стр. 2025-2027'!G254+'ведомств. стр. 2025-2027'!G397+'ведомств. стр. 2025-2027'!G459+'ведомств. стр. 2025-2027'!G475+'ведомств. стр. 2025-2027'!G529+'ведомств. стр. 2025-2027'!G629+'ведомств. стр. 2025-2027'!G985</f>
        <v>3431.7999999999997</v>
      </c>
      <c r="E54" s="119">
        <f>'ведомств. стр. 2025-2027'!H254+'ведомств. стр. 2025-2027'!H397+'ведомств. стр. 2025-2027'!H459+'ведомств. стр. 2025-2027'!H475+'ведомств. стр. 2025-2027'!H529+'ведомств. стр. 2025-2027'!H629+'ведомств. стр. 2025-2027'!H985</f>
        <v>2859.4</v>
      </c>
      <c r="F54" s="119">
        <f>'ведомств. стр. 2025-2027'!I254+'ведомств. стр. 2025-2027'!I397+'ведомств. стр. 2025-2027'!I459+'ведомств. стр. 2025-2027'!I475+'ведомств. стр. 2025-2027'!I529+'ведомств. стр. 2025-2027'!I629+'ведомств. стр. 2025-2027'!I985</f>
        <v>2859.4</v>
      </c>
      <c r="L54" s="210"/>
      <c r="M54" s="210"/>
      <c r="N54" s="210"/>
    </row>
    <row r="55" spans="1:14" s="96" customFormat="1" ht="38.25" x14ac:dyDescent="0.2">
      <c r="A55" s="24" t="s">
        <v>712</v>
      </c>
      <c r="B55" s="75" t="s">
        <v>711</v>
      </c>
      <c r="C55" s="75"/>
      <c r="D55" s="119">
        <f>D56</f>
        <v>5500</v>
      </c>
      <c r="E55" s="119">
        <f t="shared" ref="E55:F55" si="15">E56</f>
        <v>5000</v>
      </c>
      <c r="F55" s="119">
        <f t="shared" si="15"/>
        <v>5000</v>
      </c>
      <c r="L55" s="210"/>
      <c r="M55" s="210"/>
      <c r="N55" s="210"/>
    </row>
    <row r="56" spans="1:14" s="96" customFormat="1" ht="25.5" x14ac:dyDescent="0.2">
      <c r="A56" s="24" t="s">
        <v>226</v>
      </c>
      <c r="B56" s="75" t="s">
        <v>711</v>
      </c>
      <c r="C56" s="75" t="s">
        <v>59</v>
      </c>
      <c r="D56" s="119">
        <f>'ведомств. стр. 2025-2027'!G631</f>
        <v>5500</v>
      </c>
      <c r="E56" s="119">
        <f>'ведомств. стр. 2025-2027'!H631</f>
        <v>5000</v>
      </c>
      <c r="F56" s="119">
        <f>'ведомств. стр. 2025-2027'!I631</f>
        <v>5000</v>
      </c>
      <c r="L56" s="210"/>
      <c r="M56" s="210"/>
      <c r="N56" s="210"/>
    </row>
    <row r="57" spans="1:14" s="96" customFormat="1" ht="25.5" x14ac:dyDescent="0.2">
      <c r="A57" s="24" t="s">
        <v>714</v>
      </c>
      <c r="B57" s="75" t="s">
        <v>713</v>
      </c>
      <c r="C57" s="75"/>
      <c r="D57" s="119">
        <f>D58</f>
        <v>800</v>
      </c>
      <c r="E57" s="119">
        <f t="shared" ref="E57:F57" si="16">E58</f>
        <v>800</v>
      </c>
      <c r="F57" s="119">
        <f t="shared" si="16"/>
        <v>800</v>
      </c>
      <c r="L57" s="210"/>
      <c r="M57" s="210"/>
      <c r="N57" s="210"/>
    </row>
    <row r="58" spans="1:14" s="96" customFormat="1" ht="25.5" x14ac:dyDescent="0.2">
      <c r="A58" s="24" t="s">
        <v>226</v>
      </c>
      <c r="B58" s="75" t="s">
        <v>713</v>
      </c>
      <c r="C58" s="75" t="s">
        <v>59</v>
      </c>
      <c r="D58" s="119">
        <f>'ведомств. стр. 2025-2027'!G633</f>
        <v>800</v>
      </c>
      <c r="E58" s="119">
        <f>'ведомств. стр. 2025-2027'!H633</f>
        <v>800</v>
      </c>
      <c r="F58" s="119">
        <f>'ведомств. стр. 2025-2027'!I633</f>
        <v>800</v>
      </c>
      <c r="L58" s="210"/>
      <c r="M58" s="210"/>
      <c r="N58" s="210"/>
    </row>
    <row r="59" spans="1:14" s="96" customFormat="1" ht="38.25" x14ac:dyDescent="0.2">
      <c r="A59" s="24" t="s">
        <v>716</v>
      </c>
      <c r="B59" s="75" t="s">
        <v>715</v>
      </c>
      <c r="C59" s="75"/>
      <c r="D59" s="119">
        <f>D60</f>
        <v>500</v>
      </c>
      <c r="E59" s="119">
        <f t="shared" ref="E59:F59" si="17">E60</f>
        <v>500</v>
      </c>
      <c r="F59" s="119">
        <f t="shared" si="17"/>
        <v>500</v>
      </c>
      <c r="L59" s="210"/>
      <c r="M59" s="210"/>
      <c r="N59" s="210"/>
    </row>
    <row r="60" spans="1:14" s="96" customFormat="1" ht="25.5" x14ac:dyDescent="0.2">
      <c r="A60" s="24" t="s">
        <v>226</v>
      </c>
      <c r="B60" s="75" t="s">
        <v>715</v>
      </c>
      <c r="C60" s="75" t="s">
        <v>59</v>
      </c>
      <c r="D60" s="119">
        <f>'ведомств. стр. 2025-2027'!G635</f>
        <v>500</v>
      </c>
      <c r="E60" s="119">
        <f>'ведомств. стр. 2025-2027'!H635</f>
        <v>500</v>
      </c>
      <c r="F60" s="119">
        <f>'ведомств. стр. 2025-2027'!I635</f>
        <v>500</v>
      </c>
      <c r="L60" s="210"/>
      <c r="M60" s="210"/>
      <c r="N60" s="210"/>
    </row>
    <row r="61" spans="1:14" s="96" customFormat="1" ht="25.5" x14ac:dyDescent="0.2">
      <c r="A61" s="24" t="s">
        <v>873</v>
      </c>
      <c r="B61" s="75" t="s">
        <v>872</v>
      </c>
      <c r="C61" s="75"/>
      <c r="D61" s="119">
        <f>D62</f>
        <v>1000</v>
      </c>
      <c r="E61" s="119">
        <f t="shared" ref="E61:F61" si="18">E62</f>
        <v>1000</v>
      </c>
      <c r="F61" s="119">
        <f t="shared" si="18"/>
        <v>1000</v>
      </c>
      <c r="L61" s="210"/>
      <c r="M61" s="210"/>
      <c r="N61" s="210"/>
    </row>
    <row r="62" spans="1:14" s="96" customFormat="1" ht="25.5" x14ac:dyDescent="0.2">
      <c r="A62" s="24" t="s">
        <v>226</v>
      </c>
      <c r="B62" s="75" t="s">
        <v>872</v>
      </c>
      <c r="C62" s="75" t="s">
        <v>59</v>
      </c>
      <c r="D62" s="119">
        <f>'ведомств. стр. 2025-2027'!G637</f>
        <v>1000</v>
      </c>
      <c r="E62" s="119">
        <f>'ведомств. стр. 2025-2027'!H637</f>
        <v>1000</v>
      </c>
      <c r="F62" s="119">
        <f>'ведомств. стр. 2025-2027'!I637</f>
        <v>1000</v>
      </c>
      <c r="L62" s="210"/>
      <c r="M62" s="210"/>
      <c r="N62" s="210"/>
    </row>
    <row r="63" spans="1:14" s="96" customFormat="1" ht="25.5" x14ac:dyDescent="0.2">
      <c r="A63" s="81" t="s">
        <v>541</v>
      </c>
      <c r="B63" s="80" t="s">
        <v>102</v>
      </c>
      <c r="C63" s="80"/>
      <c r="D63" s="117">
        <f>D64+D102+D173+D203+D244</f>
        <v>3565997.5000000005</v>
      </c>
      <c r="E63" s="117">
        <f>E64+E102+E173+E203+E244</f>
        <v>3267364.3</v>
      </c>
      <c r="F63" s="117">
        <f>F64+F102+F173+F203+F244</f>
        <v>3366384.6999999997</v>
      </c>
      <c r="J63" s="194"/>
      <c r="K63" s="194"/>
      <c r="L63" s="211"/>
      <c r="M63" s="210"/>
      <c r="N63" s="210"/>
    </row>
    <row r="64" spans="1:14" s="96" customFormat="1" ht="13.5" x14ac:dyDescent="0.2">
      <c r="A64" s="112" t="s">
        <v>863</v>
      </c>
      <c r="B64" s="111" t="s">
        <v>103</v>
      </c>
      <c r="C64" s="111"/>
      <c r="D64" s="118">
        <f>D65+D90+D99</f>
        <v>1213165.4999999998</v>
      </c>
      <c r="E64" s="118">
        <f>E65+E90+E99</f>
        <v>1301193.8</v>
      </c>
      <c r="F64" s="118">
        <f>F65+F90+F99</f>
        <v>1363185.5</v>
      </c>
      <c r="L64" s="210"/>
      <c r="M64" s="210"/>
      <c r="N64" s="210"/>
    </row>
    <row r="65" spans="1:14" s="96" customFormat="1" ht="30" customHeight="1" x14ac:dyDescent="0.2">
      <c r="A65" s="72" t="s">
        <v>735</v>
      </c>
      <c r="B65" s="73" t="s">
        <v>104</v>
      </c>
      <c r="C65" s="73"/>
      <c r="D65" s="116">
        <f>D66+D81+D83+D85</f>
        <v>1149455.9999999998</v>
      </c>
      <c r="E65" s="116">
        <f t="shared" ref="E65:F65" si="19">E66+E81+E83+E85</f>
        <v>1257444.6000000001</v>
      </c>
      <c r="F65" s="116">
        <f t="shared" si="19"/>
        <v>1303937.3</v>
      </c>
      <c r="G65" s="107"/>
      <c r="H65" s="107"/>
      <c r="I65" s="107"/>
      <c r="J65" s="194"/>
      <c r="K65" s="194"/>
      <c r="L65" s="211"/>
      <c r="M65" s="210"/>
      <c r="N65" s="210"/>
    </row>
    <row r="66" spans="1:14" s="96" customFormat="1" ht="25.5" x14ac:dyDescent="0.2">
      <c r="A66" s="24" t="s">
        <v>242</v>
      </c>
      <c r="B66" s="75" t="s">
        <v>243</v>
      </c>
      <c r="C66" s="75"/>
      <c r="D66" s="119">
        <f>D67+D69+D71+D73+D75+D77+D79</f>
        <v>357699.69999999995</v>
      </c>
      <c r="E66" s="119">
        <f t="shared" ref="E66:F66" si="20">E67+E69+E71+E73+E75+E77+E79</f>
        <v>393195.9</v>
      </c>
      <c r="F66" s="119">
        <f t="shared" si="20"/>
        <v>395739.30000000005</v>
      </c>
      <c r="L66" s="210"/>
      <c r="M66" s="210"/>
      <c r="N66" s="210"/>
    </row>
    <row r="67" spans="1:14" s="96" customFormat="1" ht="38.25" x14ac:dyDescent="0.2">
      <c r="A67" s="24" t="s">
        <v>354</v>
      </c>
      <c r="B67" s="75" t="s">
        <v>359</v>
      </c>
      <c r="C67" s="75"/>
      <c r="D67" s="119">
        <f>D68</f>
        <v>101470.50000000001</v>
      </c>
      <c r="E67" s="119">
        <f>E68</f>
        <v>122278.8</v>
      </c>
      <c r="F67" s="119">
        <f>F68</f>
        <v>122278.8</v>
      </c>
      <c r="L67" s="210"/>
      <c r="M67" s="210"/>
      <c r="N67" s="210"/>
    </row>
    <row r="68" spans="1:14" s="96" customFormat="1" ht="25.5" x14ac:dyDescent="0.2">
      <c r="A68" s="24" t="s">
        <v>64</v>
      </c>
      <c r="B68" s="75" t="s">
        <v>359</v>
      </c>
      <c r="C68" s="75" t="s">
        <v>65</v>
      </c>
      <c r="D68" s="119">
        <f>'ведомств. стр. 2025-2027'!G75</f>
        <v>101470.50000000001</v>
      </c>
      <c r="E68" s="119">
        <f>'ведомств. стр. 2025-2027'!H75</f>
        <v>122278.8</v>
      </c>
      <c r="F68" s="119">
        <f>'ведомств. стр. 2025-2027'!I75</f>
        <v>122278.8</v>
      </c>
      <c r="L68" s="210"/>
      <c r="M68" s="210"/>
      <c r="N68" s="210"/>
    </row>
    <row r="69" spans="1:14" s="96" customFormat="1" ht="25.5" x14ac:dyDescent="0.2">
      <c r="A69" s="24" t="s">
        <v>361</v>
      </c>
      <c r="B69" s="75" t="s">
        <v>360</v>
      </c>
      <c r="C69" s="75"/>
      <c r="D69" s="119">
        <f>D70</f>
        <v>60933.399999999987</v>
      </c>
      <c r="E69" s="119">
        <f>E70</f>
        <v>73601.099999999991</v>
      </c>
      <c r="F69" s="119">
        <f>F70</f>
        <v>76559.399999999994</v>
      </c>
      <c r="L69" s="210"/>
      <c r="M69" s="210"/>
      <c r="N69" s="210"/>
    </row>
    <row r="70" spans="1:14" s="96" customFormat="1" ht="25.5" x14ac:dyDescent="0.2">
      <c r="A70" s="24" t="s">
        <v>64</v>
      </c>
      <c r="B70" s="75" t="s">
        <v>360</v>
      </c>
      <c r="C70" s="75" t="s">
        <v>65</v>
      </c>
      <c r="D70" s="119">
        <f>'ведомств. стр. 2025-2027'!G77</f>
        <v>60933.399999999987</v>
      </c>
      <c r="E70" s="119">
        <f>'ведомств. стр. 2025-2027'!H77</f>
        <v>73601.099999999991</v>
      </c>
      <c r="F70" s="119">
        <f>'ведомств. стр. 2025-2027'!I77</f>
        <v>76559.399999999994</v>
      </c>
      <c r="L70" s="210"/>
      <c r="M70" s="210"/>
      <c r="N70" s="210"/>
    </row>
    <row r="71" spans="1:14" s="96" customFormat="1" ht="25.5" x14ac:dyDescent="0.2">
      <c r="A71" s="24" t="s">
        <v>356</v>
      </c>
      <c r="B71" s="75" t="s">
        <v>362</v>
      </c>
      <c r="C71" s="75"/>
      <c r="D71" s="119">
        <f>D72</f>
        <v>19308.7</v>
      </c>
      <c r="E71" s="119">
        <f>E72</f>
        <v>18884.5</v>
      </c>
      <c r="F71" s="119">
        <f>F72</f>
        <v>18469.599999999999</v>
      </c>
      <c r="L71" s="210"/>
      <c r="M71" s="210"/>
      <c r="N71" s="210"/>
    </row>
    <row r="72" spans="1:14" s="96" customFormat="1" ht="25.5" x14ac:dyDescent="0.2">
      <c r="A72" s="24" t="s">
        <v>64</v>
      </c>
      <c r="B72" s="75" t="s">
        <v>362</v>
      </c>
      <c r="C72" s="75" t="s">
        <v>65</v>
      </c>
      <c r="D72" s="119">
        <f>'ведомств. стр. 2025-2027'!G79</f>
        <v>19308.7</v>
      </c>
      <c r="E72" s="119">
        <f>'ведомств. стр. 2025-2027'!H79</f>
        <v>18884.5</v>
      </c>
      <c r="F72" s="119">
        <f>'ведомств. стр. 2025-2027'!I79</f>
        <v>18469.599999999999</v>
      </c>
      <c r="L72" s="210"/>
      <c r="M72" s="210"/>
      <c r="N72" s="210"/>
    </row>
    <row r="73" spans="1:14" s="96" customFormat="1" ht="25.5" x14ac:dyDescent="0.2">
      <c r="A73" s="24" t="s">
        <v>601</v>
      </c>
      <c r="B73" s="75" t="s">
        <v>542</v>
      </c>
      <c r="C73" s="75"/>
      <c r="D73" s="119">
        <f>D74</f>
        <v>81112.2</v>
      </c>
      <c r="E73" s="119">
        <f>E74</f>
        <v>83706.100000000006</v>
      </c>
      <c r="F73" s="119">
        <f>F74</f>
        <v>83706.100000000006</v>
      </c>
      <c r="L73" s="210"/>
      <c r="M73" s="210"/>
      <c r="N73" s="210"/>
    </row>
    <row r="74" spans="1:14" s="96" customFormat="1" ht="25.5" x14ac:dyDescent="0.2">
      <c r="A74" s="24" t="s">
        <v>64</v>
      </c>
      <c r="B74" s="75" t="s">
        <v>542</v>
      </c>
      <c r="C74" s="75" t="s">
        <v>65</v>
      </c>
      <c r="D74" s="119">
        <f>'ведомств. стр. 2025-2027'!G81</f>
        <v>81112.2</v>
      </c>
      <c r="E74" s="119">
        <f>'ведомств. стр. 2025-2027'!H81</f>
        <v>83706.100000000006</v>
      </c>
      <c r="F74" s="119">
        <f>'ведомств. стр. 2025-2027'!I81</f>
        <v>83706.100000000006</v>
      </c>
      <c r="L74" s="210"/>
      <c r="M74" s="210"/>
      <c r="N74" s="210"/>
    </row>
    <row r="75" spans="1:14" s="96" customFormat="1" ht="25.5" x14ac:dyDescent="0.2">
      <c r="A75" s="24" t="s">
        <v>698</v>
      </c>
      <c r="B75" s="75" t="s">
        <v>699</v>
      </c>
      <c r="C75" s="75"/>
      <c r="D75" s="119">
        <f>D76</f>
        <v>58756.800000000003</v>
      </c>
      <c r="E75" s="119">
        <f t="shared" ref="E75:F75" si="21">E76</f>
        <v>55919</v>
      </c>
      <c r="F75" s="119">
        <f t="shared" si="21"/>
        <v>55919</v>
      </c>
      <c r="L75" s="210"/>
      <c r="M75" s="210"/>
      <c r="N75" s="210"/>
    </row>
    <row r="76" spans="1:14" s="96" customFormat="1" ht="25.5" x14ac:dyDescent="0.2">
      <c r="A76" s="24" t="s">
        <v>64</v>
      </c>
      <c r="B76" s="75" t="s">
        <v>699</v>
      </c>
      <c r="C76" s="75" t="s">
        <v>65</v>
      </c>
      <c r="D76" s="119">
        <f>'ведомств. стр. 2025-2027'!G83</f>
        <v>58756.800000000003</v>
      </c>
      <c r="E76" s="119">
        <f>'ведомств. стр. 2025-2027'!H83</f>
        <v>55919</v>
      </c>
      <c r="F76" s="119">
        <f>'ведомств. стр. 2025-2027'!I83</f>
        <v>55919</v>
      </c>
      <c r="L76" s="210"/>
      <c r="M76" s="210"/>
      <c r="N76" s="210"/>
    </row>
    <row r="77" spans="1:14" s="96" customFormat="1" ht="25.5" x14ac:dyDescent="0.2">
      <c r="A77" s="24" t="s">
        <v>357</v>
      </c>
      <c r="B77" s="75" t="s">
        <v>363</v>
      </c>
      <c r="C77" s="75"/>
      <c r="D77" s="119">
        <f>D78</f>
        <v>26089.1</v>
      </c>
      <c r="E77" s="119">
        <f>E78</f>
        <v>28777.4</v>
      </c>
      <c r="F77" s="119">
        <f>F78</f>
        <v>28777.4</v>
      </c>
      <c r="L77" s="210"/>
      <c r="M77" s="210"/>
      <c r="N77" s="210"/>
    </row>
    <row r="78" spans="1:14" s="96" customFormat="1" ht="29.25" customHeight="1" x14ac:dyDescent="0.2">
      <c r="A78" s="24" t="s">
        <v>64</v>
      </c>
      <c r="B78" s="75" t="s">
        <v>363</v>
      </c>
      <c r="C78" s="75" t="s">
        <v>65</v>
      </c>
      <c r="D78" s="119">
        <f>'ведомств. стр. 2025-2027'!G85</f>
        <v>26089.1</v>
      </c>
      <c r="E78" s="119">
        <f>'ведомств. стр. 2025-2027'!H85</f>
        <v>28777.4</v>
      </c>
      <c r="F78" s="119">
        <f>'ведомств. стр. 2025-2027'!I85</f>
        <v>28777.4</v>
      </c>
      <c r="L78" s="210"/>
      <c r="M78" s="210"/>
      <c r="N78" s="210"/>
    </row>
    <row r="79" spans="1:14" s="96" customFormat="1" ht="38.25" x14ac:dyDescent="0.2">
      <c r="A79" s="24" t="s">
        <v>901</v>
      </c>
      <c r="B79" s="75" t="s">
        <v>883</v>
      </c>
      <c r="C79" s="75"/>
      <c r="D79" s="119">
        <f>D80</f>
        <v>10029</v>
      </c>
      <c r="E79" s="119">
        <f t="shared" ref="E79:F79" si="22">E80</f>
        <v>10029</v>
      </c>
      <c r="F79" s="119">
        <f t="shared" si="22"/>
        <v>10029</v>
      </c>
      <c r="L79" s="210"/>
      <c r="M79" s="210"/>
      <c r="N79" s="210"/>
    </row>
    <row r="80" spans="1:14" s="96" customFormat="1" ht="29.25" customHeight="1" x14ac:dyDescent="0.2">
      <c r="A80" s="24" t="s">
        <v>64</v>
      </c>
      <c r="B80" s="75" t="s">
        <v>883</v>
      </c>
      <c r="C80" s="75" t="s">
        <v>65</v>
      </c>
      <c r="D80" s="119">
        <f>'ведомств. стр. 2025-2027'!G87</f>
        <v>10029</v>
      </c>
      <c r="E80" s="119">
        <f>'ведомств. стр. 2025-2027'!H87</f>
        <v>10029</v>
      </c>
      <c r="F80" s="119">
        <f>'ведомств. стр. 2025-2027'!I87</f>
        <v>10029</v>
      </c>
      <c r="L80" s="210"/>
      <c r="M80" s="210"/>
      <c r="N80" s="210"/>
    </row>
    <row r="81" spans="1:14" s="96" customFormat="1" ht="38.25" x14ac:dyDescent="0.2">
      <c r="A81" s="24" t="s">
        <v>298</v>
      </c>
      <c r="B81" s="75" t="s">
        <v>165</v>
      </c>
      <c r="C81" s="75"/>
      <c r="D81" s="119">
        <f>D82</f>
        <v>732894.1</v>
      </c>
      <c r="E81" s="119">
        <f>E82</f>
        <v>864198.7</v>
      </c>
      <c r="F81" s="119">
        <f>F82</f>
        <v>908148</v>
      </c>
      <c r="L81" s="210"/>
      <c r="M81" s="210"/>
      <c r="N81" s="210"/>
    </row>
    <row r="82" spans="1:14" s="96" customFormat="1" ht="25.5" x14ac:dyDescent="0.2">
      <c r="A82" s="24" t="s">
        <v>64</v>
      </c>
      <c r="B82" s="75" t="s">
        <v>165</v>
      </c>
      <c r="C82" s="75" t="s">
        <v>65</v>
      </c>
      <c r="D82" s="119">
        <f>'ведомств. стр. 2025-2027'!G89</f>
        <v>732894.1</v>
      </c>
      <c r="E82" s="119">
        <f>'ведомств. стр. 2025-2027'!H89</f>
        <v>864198.7</v>
      </c>
      <c r="F82" s="119">
        <f>'ведомств. стр. 2025-2027'!I89</f>
        <v>908148</v>
      </c>
      <c r="L82" s="210"/>
      <c r="M82" s="210"/>
      <c r="N82" s="210"/>
    </row>
    <row r="83" spans="1:14" s="96" customFormat="1" ht="25.5" x14ac:dyDescent="0.2">
      <c r="A83" s="24" t="s">
        <v>299</v>
      </c>
      <c r="B83" s="75" t="s">
        <v>166</v>
      </c>
      <c r="C83" s="75"/>
      <c r="D83" s="119">
        <f>D84</f>
        <v>50</v>
      </c>
      <c r="E83" s="119">
        <f t="shared" ref="E83:F83" si="23">E84</f>
        <v>50</v>
      </c>
      <c r="F83" s="119">
        <f t="shared" si="23"/>
        <v>50</v>
      </c>
      <c r="L83" s="210"/>
      <c r="M83" s="210"/>
      <c r="N83" s="210"/>
    </row>
    <row r="84" spans="1:14" s="96" customFormat="1" ht="12.75" x14ac:dyDescent="0.2">
      <c r="A84" s="24" t="s">
        <v>61</v>
      </c>
      <c r="B84" s="75" t="s">
        <v>166</v>
      </c>
      <c r="C84" s="75" t="s">
        <v>62</v>
      </c>
      <c r="D84" s="119">
        <f>'ведомств. стр. 2025-2027'!G91</f>
        <v>50</v>
      </c>
      <c r="E84" s="119">
        <f>'ведомств. стр. 2025-2027'!H91</f>
        <v>50</v>
      </c>
      <c r="F84" s="119">
        <f>'ведомств. стр. 2025-2027'!I91</f>
        <v>50</v>
      </c>
      <c r="L84" s="210"/>
      <c r="M84" s="210"/>
      <c r="N84" s="210"/>
    </row>
    <row r="85" spans="1:14" s="96" customFormat="1" ht="25.5" x14ac:dyDescent="0.2">
      <c r="A85" s="24" t="s">
        <v>969</v>
      </c>
      <c r="B85" s="75" t="s">
        <v>970</v>
      </c>
      <c r="C85" s="75"/>
      <c r="D85" s="119">
        <f>D86+D88</f>
        <v>58812.2</v>
      </c>
      <c r="E85" s="119">
        <f t="shared" ref="E85:F85" si="24">E86+E88</f>
        <v>0</v>
      </c>
      <c r="F85" s="119">
        <f t="shared" si="24"/>
        <v>0</v>
      </c>
      <c r="L85" s="210"/>
      <c r="M85" s="210"/>
      <c r="N85" s="210"/>
    </row>
    <row r="86" spans="1:14" s="96" customFormat="1" ht="25.5" x14ac:dyDescent="0.2">
      <c r="A86" s="24" t="s">
        <v>971</v>
      </c>
      <c r="B86" s="75" t="s">
        <v>972</v>
      </c>
      <c r="C86" s="75"/>
      <c r="D86" s="119">
        <f>D87</f>
        <v>52931</v>
      </c>
      <c r="E86" s="119">
        <f t="shared" ref="E86:F86" si="25">E87</f>
        <v>0</v>
      </c>
      <c r="F86" s="119">
        <f t="shared" si="25"/>
        <v>0</v>
      </c>
      <c r="L86" s="210"/>
      <c r="M86" s="210"/>
      <c r="N86" s="210"/>
    </row>
    <row r="87" spans="1:14" s="96" customFormat="1" ht="25.5" x14ac:dyDescent="0.2">
      <c r="A87" s="24" t="s">
        <v>64</v>
      </c>
      <c r="B87" s="75" t="s">
        <v>972</v>
      </c>
      <c r="C87" s="75" t="s">
        <v>65</v>
      </c>
      <c r="D87" s="119">
        <f>'ведомств. стр. 2025-2027'!G94</f>
        <v>52931</v>
      </c>
      <c r="E87" s="119">
        <f>'ведомств. стр. 2025-2027'!H94</f>
        <v>0</v>
      </c>
      <c r="F87" s="119">
        <f>'ведомств. стр. 2025-2027'!I94</f>
        <v>0</v>
      </c>
      <c r="L87" s="210"/>
      <c r="M87" s="210"/>
      <c r="N87" s="210"/>
    </row>
    <row r="88" spans="1:14" s="96" customFormat="1" ht="25.5" x14ac:dyDescent="0.2">
      <c r="A88" s="24" t="s">
        <v>995</v>
      </c>
      <c r="B88" s="75" t="s">
        <v>994</v>
      </c>
      <c r="C88" s="75"/>
      <c r="D88" s="119">
        <f>D89</f>
        <v>5881.2</v>
      </c>
      <c r="E88" s="119">
        <f t="shared" ref="E88:F88" si="26">E89</f>
        <v>0</v>
      </c>
      <c r="F88" s="119">
        <f t="shared" si="26"/>
        <v>0</v>
      </c>
      <c r="L88" s="210"/>
      <c r="M88" s="210"/>
      <c r="N88" s="210"/>
    </row>
    <row r="89" spans="1:14" s="96" customFormat="1" ht="25.5" x14ac:dyDescent="0.2">
      <c r="A89" s="24" t="s">
        <v>64</v>
      </c>
      <c r="B89" s="75" t="s">
        <v>994</v>
      </c>
      <c r="C89" s="75" t="s">
        <v>65</v>
      </c>
      <c r="D89" s="119">
        <f>'ведомств. стр. 2025-2027'!G96</f>
        <v>5881.2</v>
      </c>
      <c r="E89" s="119">
        <f>'ведомств. стр. 2025-2027'!H96</f>
        <v>0</v>
      </c>
      <c r="F89" s="119">
        <f>'ведомств. стр. 2025-2027'!I96</f>
        <v>0</v>
      </c>
      <c r="L89" s="210"/>
      <c r="M89" s="210"/>
      <c r="N89" s="210"/>
    </row>
    <row r="90" spans="1:14" s="96" customFormat="1" ht="27" customHeight="1" x14ac:dyDescent="0.2">
      <c r="A90" s="72" t="s">
        <v>736</v>
      </c>
      <c r="B90" s="73" t="s">
        <v>346</v>
      </c>
      <c r="C90" s="73"/>
      <c r="D90" s="116">
        <f>D91+D93+D97+D95</f>
        <v>3046.4</v>
      </c>
      <c r="E90" s="116">
        <f>E91+E93+E97+E95</f>
        <v>0</v>
      </c>
      <c r="F90" s="116">
        <f>F91+F93+F97+F95</f>
        <v>0</v>
      </c>
      <c r="L90" s="210"/>
      <c r="M90" s="210"/>
      <c r="N90" s="210"/>
    </row>
    <row r="91" spans="1:14" s="96" customFormat="1" ht="12.75" x14ac:dyDescent="0.2">
      <c r="A91" s="24" t="s">
        <v>289</v>
      </c>
      <c r="B91" s="75" t="s">
        <v>347</v>
      </c>
      <c r="C91" s="75"/>
      <c r="D91" s="119">
        <f t="shared" ref="D91:F91" si="27">D92</f>
        <v>1063</v>
      </c>
      <c r="E91" s="119">
        <f t="shared" si="27"/>
        <v>0</v>
      </c>
      <c r="F91" s="119">
        <f t="shared" si="27"/>
        <v>0</v>
      </c>
      <c r="L91" s="210"/>
      <c r="M91" s="210"/>
      <c r="N91" s="210"/>
    </row>
    <row r="92" spans="1:14" s="96" customFormat="1" ht="25.5" x14ac:dyDescent="0.2">
      <c r="A92" s="24" t="s">
        <v>64</v>
      </c>
      <c r="B92" s="75" t="s">
        <v>347</v>
      </c>
      <c r="C92" s="75" t="s">
        <v>65</v>
      </c>
      <c r="D92" s="119">
        <f>'ведомств. стр. 2025-2027'!G99</f>
        <v>1063</v>
      </c>
      <c r="E92" s="119">
        <f>'ведомств. стр. 2025-2027'!H99</f>
        <v>0</v>
      </c>
      <c r="F92" s="119">
        <f>'ведомств. стр. 2025-2027'!I99</f>
        <v>0</v>
      </c>
      <c r="L92" s="210"/>
      <c r="M92" s="210"/>
      <c r="N92" s="210"/>
    </row>
    <row r="93" spans="1:14" s="96" customFormat="1" ht="12.75" x14ac:dyDescent="0.2">
      <c r="A93" s="24" t="s">
        <v>635</v>
      </c>
      <c r="B93" s="75" t="s">
        <v>637</v>
      </c>
      <c r="C93" s="75"/>
      <c r="D93" s="119">
        <f>D94</f>
        <v>1870</v>
      </c>
      <c r="E93" s="119">
        <f t="shared" ref="E93:F93" si="28">E94</f>
        <v>0</v>
      </c>
      <c r="F93" s="119">
        <f t="shared" si="28"/>
        <v>0</v>
      </c>
      <c r="L93" s="210"/>
      <c r="M93" s="210"/>
      <c r="N93" s="210"/>
    </row>
    <row r="94" spans="1:14" s="96" customFormat="1" ht="25.5" x14ac:dyDescent="0.2">
      <c r="A94" s="24" t="s">
        <v>64</v>
      </c>
      <c r="B94" s="75" t="s">
        <v>637</v>
      </c>
      <c r="C94" s="75" t="s">
        <v>65</v>
      </c>
      <c r="D94" s="119">
        <f>'ведомств. стр. 2025-2027'!G101</f>
        <v>1870</v>
      </c>
      <c r="E94" s="119">
        <f>'ведомств. стр. 2025-2027'!H101</f>
        <v>0</v>
      </c>
      <c r="F94" s="119">
        <f>'ведомств. стр. 2025-2027'!I101</f>
        <v>0</v>
      </c>
      <c r="L94" s="210"/>
      <c r="M94" s="210"/>
      <c r="N94" s="210"/>
    </row>
    <row r="95" spans="1:14" s="96" customFormat="1" ht="38.25" x14ac:dyDescent="0.2">
      <c r="A95" s="24" t="s">
        <v>885</v>
      </c>
      <c r="B95" s="75" t="s">
        <v>884</v>
      </c>
      <c r="C95" s="75"/>
      <c r="D95" s="119">
        <f>D96</f>
        <v>113.4</v>
      </c>
      <c r="E95" s="119">
        <f t="shared" ref="E95:F95" si="29">E96</f>
        <v>0</v>
      </c>
      <c r="F95" s="119">
        <f t="shared" si="29"/>
        <v>0</v>
      </c>
      <c r="L95" s="210"/>
      <c r="M95" s="210"/>
      <c r="N95" s="210"/>
    </row>
    <row r="96" spans="1:14" s="96" customFormat="1" ht="25.5" x14ac:dyDescent="0.2">
      <c r="A96" s="24" t="s">
        <v>64</v>
      </c>
      <c r="B96" s="75" t="s">
        <v>884</v>
      </c>
      <c r="C96" s="75" t="s">
        <v>65</v>
      </c>
      <c r="D96" s="119">
        <f>'ведомств. стр. 2025-2027'!G103</f>
        <v>113.4</v>
      </c>
      <c r="E96" s="119">
        <f>'ведомств. стр. 2025-2027'!H103</f>
        <v>0</v>
      </c>
      <c r="F96" s="119">
        <f>'ведомств. стр. 2025-2027'!I103</f>
        <v>0</v>
      </c>
      <c r="L96" s="210"/>
      <c r="M96" s="210"/>
      <c r="N96" s="210"/>
    </row>
    <row r="97" spans="1:14" s="96" customFormat="1" ht="25.5" x14ac:dyDescent="0.2">
      <c r="A97" s="24" t="s">
        <v>686</v>
      </c>
      <c r="B97" s="75" t="s">
        <v>865</v>
      </c>
      <c r="C97" s="48"/>
      <c r="D97" s="119">
        <f>D98</f>
        <v>0</v>
      </c>
      <c r="E97" s="119">
        <f t="shared" ref="E97:F97" si="30">E98</f>
        <v>0</v>
      </c>
      <c r="F97" s="119">
        <f t="shared" si="30"/>
        <v>0</v>
      </c>
      <c r="L97" s="210"/>
      <c r="M97" s="210"/>
      <c r="N97" s="210"/>
    </row>
    <row r="98" spans="1:14" s="96" customFormat="1" ht="25.5" x14ac:dyDescent="0.2">
      <c r="A98" s="24" t="s">
        <v>64</v>
      </c>
      <c r="B98" s="75" t="s">
        <v>865</v>
      </c>
      <c r="C98" s="48" t="s">
        <v>65</v>
      </c>
      <c r="D98" s="119"/>
      <c r="E98" s="119"/>
      <c r="F98" s="119"/>
      <c r="L98" s="210"/>
      <c r="M98" s="210"/>
      <c r="N98" s="210"/>
    </row>
    <row r="99" spans="1:14" s="96" customFormat="1" ht="12.75" x14ac:dyDescent="0.2">
      <c r="A99" s="72" t="s">
        <v>913</v>
      </c>
      <c r="B99" s="73" t="s">
        <v>912</v>
      </c>
      <c r="C99" s="73"/>
      <c r="D99" s="116">
        <f>D100</f>
        <v>60663.1</v>
      </c>
      <c r="E99" s="116">
        <f t="shared" ref="E99:F100" si="31">E100</f>
        <v>43749.2</v>
      </c>
      <c r="F99" s="116">
        <f t="shared" si="31"/>
        <v>59248.200000000004</v>
      </c>
      <c r="L99" s="210"/>
      <c r="M99" s="210"/>
      <c r="N99" s="210"/>
    </row>
    <row r="100" spans="1:14" s="96" customFormat="1" ht="38.25" x14ac:dyDescent="0.2">
      <c r="A100" s="24" t="s">
        <v>915</v>
      </c>
      <c r="B100" s="75" t="s">
        <v>914</v>
      </c>
      <c r="C100" s="75"/>
      <c r="D100" s="119">
        <f>D101</f>
        <v>60663.1</v>
      </c>
      <c r="E100" s="119">
        <f t="shared" si="31"/>
        <v>43749.2</v>
      </c>
      <c r="F100" s="119">
        <f t="shared" si="31"/>
        <v>59248.200000000004</v>
      </c>
      <c r="L100" s="210"/>
      <c r="M100" s="210"/>
      <c r="N100" s="210"/>
    </row>
    <row r="101" spans="1:14" s="96" customFormat="1" ht="25.5" x14ac:dyDescent="0.2">
      <c r="A101" s="24" t="s">
        <v>64</v>
      </c>
      <c r="B101" s="75" t="s">
        <v>914</v>
      </c>
      <c r="C101" s="75" t="s">
        <v>65</v>
      </c>
      <c r="D101" s="119">
        <f>'ведомств. стр. 2025-2027'!G106</f>
        <v>60663.1</v>
      </c>
      <c r="E101" s="119">
        <f>'ведомств. стр. 2025-2027'!H106</f>
        <v>43749.2</v>
      </c>
      <c r="F101" s="119">
        <f>'ведомств. стр. 2025-2027'!I106</f>
        <v>59248.200000000004</v>
      </c>
      <c r="L101" s="210"/>
      <c r="M101" s="210"/>
      <c r="N101" s="210"/>
    </row>
    <row r="102" spans="1:14" s="96" customFormat="1" ht="27" x14ac:dyDescent="0.2">
      <c r="A102" s="112" t="s">
        <v>734</v>
      </c>
      <c r="B102" s="111" t="s">
        <v>106</v>
      </c>
      <c r="C102" s="111"/>
      <c r="D102" s="201">
        <f>D103+D125+D133+D138+D143+D154+D157+D160+D163</f>
        <v>2111370.9000000004</v>
      </c>
      <c r="E102" s="201">
        <f>E103+E125+E133+E138+E143+E154+E157+E160+E163</f>
        <v>1773607.5</v>
      </c>
      <c r="F102" s="201">
        <f>F103+F125+F133+F138+F143+F154+F157+F160+F163</f>
        <v>1806028.5</v>
      </c>
      <c r="I102" s="194"/>
      <c r="J102" s="194"/>
      <c r="K102" s="194"/>
      <c r="L102" s="210"/>
      <c r="M102" s="210"/>
      <c r="N102" s="210"/>
    </row>
    <row r="103" spans="1:14" s="96" customFormat="1" ht="25.5" x14ac:dyDescent="0.2">
      <c r="A103" s="72" t="s">
        <v>737</v>
      </c>
      <c r="B103" s="73" t="s">
        <v>107</v>
      </c>
      <c r="C103" s="73"/>
      <c r="D103" s="202">
        <f>D104+D115+D119+D123</f>
        <v>1150476.8999999999</v>
      </c>
      <c r="E103" s="202">
        <f t="shared" ref="E103:F103" si="32">E104+E115+E119+E123</f>
        <v>1434946.2999999998</v>
      </c>
      <c r="F103" s="202">
        <f t="shared" si="32"/>
        <v>1506311.4</v>
      </c>
      <c r="L103" s="210"/>
      <c r="M103" s="210"/>
      <c r="N103" s="210"/>
    </row>
    <row r="104" spans="1:14" s="96" customFormat="1" ht="25.5" x14ac:dyDescent="0.2">
      <c r="A104" s="24" t="s">
        <v>242</v>
      </c>
      <c r="B104" s="75" t="s">
        <v>246</v>
      </c>
      <c r="C104" s="75"/>
      <c r="D104" s="121">
        <f>D105+D107+D109+D111+D113</f>
        <v>240732.9</v>
      </c>
      <c r="E104" s="121">
        <f t="shared" ref="E104:F104" si="33">E105+E107+E109+E111+E113</f>
        <v>266320.19999999995</v>
      </c>
      <c r="F104" s="121">
        <f t="shared" si="33"/>
        <v>268753.89999999997</v>
      </c>
      <c r="L104" s="210"/>
      <c r="M104" s="210"/>
      <c r="N104" s="210"/>
    </row>
    <row r="105" spans="1:14" s="96" customFormat="1" ht="38.25" x14ac:dyDescent="0.2">
      <c r="A105" s="24" t="s">
        <v>354</v>
      </c>
      <c r="B105" s="75" t="s">
        <v>364</v>
      </c>
      <c r="C105" s="75"/>
      <c r="D105" s="119">
        <f>D106</f>
        <v>113231.7</v>
      </c>
      <c r="E105" s="119">
        <f>E106</f>
        <v>124905.4</v>
      </c>
      <c r="F105" s="119">
        <f>F106</f>
        <v>124905.4</v>
      </c>
      <c r="L105" s="210"/>
      <c r="M105" s="210"/>
      <c r="N105" s="210"/>
    </row>
    <row r="106" spans="1:14" s="96" customFormat="1" ht="25.5" x14ac:dyDescent="0.2">
      <c r="A106" s="24" t="s">
        <v>64</v>
      </c>
      <c r="B106" s="75" t="s">
        <v>364</v>
      </c>
      <c r="C106" s="75" t="s">
        <v>65</v>
      </c>
      <c r="D106" s="119">
        <f>'ведомств. стр. 2025-2027'!G131</f>
        <v>113231.7</v>
      </c>
      <c r="E106" s="119">
        <f>'ведомств. стр. 2025-2027'!H131</f>
        <v>124905.4</v>
      </c>
      <c r="F106" s="119">
        <f>'ведомств. стр. 2025-2027'!I131</f>
        <v>124905.4</v>
      </c>
      <c r="L106" s="210"/>
      <c r="M106" s="210"/>
      <c r="N106" s="210"/>
    </row>
    <row r="107" spans="1:14" s="96" customFormat="1" ht="25.5" x14ac:dyDescent="0.2">
      <c r="A107" s="24" t="s">
        <v>361</v>
      </c>
      <c r="B107" s="75" t="s">
        <v>365</v>
      </c>
      <c r="C107" s="75"/>
      <c r="D107" s="119">
        <f>D108</f>
        <v>45252.3</v>
      </c>
      <c r="E107" s="119">
        <f>E108</f>
        <v>58923.7</v>
      </c>
      <c r="F107" s="119">
        <f>F108</f>
        <v>61357.4</v>
      </c>
      <c r="L107" s="210"/>
      <c r="M107" s="210"/>
      <c r="N107" s="210"/>
    </row>
    <row r="108" spans="1:14" s="96" customFormat="1" ht="25.5" x14ac:dyDescent="0.2">
      <c r="A108" s="24" t="s">
        <v>64</v>
      </c>
      <c r="B108" s="75" t="s">
        <v>365</v>
      </c>
      <c r="C108" s="75" t="s">
        <v>65</v>
      </c>
      <c r="D108" s="119">
        <f>'ведомств. стр. 2025-2027'!G133</f>
        <v>45252.3</v>
      </c>
      <c r="E108" s="119">
        <f>'ведомств. стр. 2025-2027'!H133</f>
        <v>58923.7</v>
      </c>
      <c r="F108" s="119">
        <f>'ведомств. стр. 2025-2027'!I133</f>
        <v>61357.4</v>
      </c>
      <c r="L108" s="210"/>
      <c r="M108" s="210"/>
      <c r="N108" s="210"/>
    </row>
    <row r="109" spans="1:14" s="96" customFormat="1" ht="25.5" x14ac:dyDescent="0.2">
      <c r="A109" s="24" t="s">
        <v>356</v>
      </c>
      <c r="B109" s="75" t="s">
        <v>366</v>
      </c>
      <c r="C109" s="75"/>
      <c r="D109" s="119">
        <f>D110</f>
        <v>6797.8</v>
      </c>
      <c r="E109" s="119">
        <f>E110</f>
        <v>6797.8</v>
      </c>
      <c r="F109" s="119">
        <f>F110</f>
        <v>6797.8</v>
      </c>
      <c r="L109" s="210"/>
      <c r="M109" s="210"/>
      <c r="N109" s="210"/>
    </row>
    <row r="110" spans="1:14" s="96" customFormat="1" ht="25.5" x14ac:dyDescent="0.2">
      <c r="A110" s="24" t="s">
        <v>64</v>
      </c>
      <c r="B110" s="75" t="s">
        <v>366</v>
      </c>
      <c r="C110" s="75" t="s">
        <v>65</v>
      </c>
      <c r="D110" s="119">
        <f>'ведомств. стр. 2025-2027'!G135</f>
        <v>6797.8</v>
      </c>
      <c r="E110" s="119">
        <f>'ведомств. стр. 2025-2027'!H135</f>
        <v>6797.8</v>
      </c>
      <c r="F110" s="119">
        <f>'ведомств. стр. 2025-2027'!I135</f>
        <v>6797.8</v>
      </c>
      <c r="L110" s="210"/>
      <c r="M110" s="210"/>
      <c r="N110" s="210"/>
    </row>
    <row r="111" spans="1:14" s="96" customFormat="1" ht="25.5" x14ac:dyDescent="0.2">
      <c r="A111" s="24" t="s">
        <v>698</v>
      </c>
      <c r="B111" s="75" t="s">
        <v>700</v>
      </c>
      <c r="C111" s="75"/>
      <c r="D111" s="119">
        <f>D112</f>
        <v>53451.5</v>
      </c>
      <c r="E111" s="119">
        <f t="shared" ref="E111:F111" si="34">E112</f>
        <v>51125.5</v>
      </c>
      <c r="F111" s="119">
        <f t="shared" si="34"/>
        <v>51125.5</v>
      </c>
      <c r="L111" s="210"/>
      <c r="M111" s="210"/>
      <c r="N111" s="210"/>
    </row>
    <row r="112" spans="1:14" s="96" customFormat="1" ht="25.5" x14ac:dyDescent="0.2">
      <c r="A112" s="24" t="s">
        <v>64</v>
      </c>
      <c r="B112" s="75" t="s">
        <v>700</v>
      </c>
      <c r="C112" s="75" t="s">
        <v>65</v>
      </c>
      <c r="D112" s="119">
        <f>'ведомств. стр. 2025-2027'!G137</f>
        <v>53451.5</v>
      </c>
      <c r="E112" s="119">
        <f>'ведомств. стр. 2025-2027'!H137</f>
        <v>51125.5</v>
      </c>
      <c r="F112" s="119">
        <f>'ведомств. стр. 2025-2027'!I137</f>
        <v>51125.5</v>
      </c>
      <c r="L112" s="210"/>
      <c r="M112" s="210"/>
      <c r="N112" s="210"/>
    </row>
    <row r="113" spans="1:14" s="96" customFormat="1" ht="25.5" x14ac:dyDescent="0.2">
      <c r="A113" s="24" t="s">
        <v>357</v>
      </c>
      <c r="B113" s="75" t="s">
        <v>367</v>
      </c>
      <c r="C113" s="75"/>
      <c r="D113" s="119">
        <f>D114</f>
        <v>21999.600000000002</v>
      </c>
      <c r="E113" s="119">
        <f>E114</f>
        <v>24567.8</v>
      </c>
      <c r="F113" s="119">
        <f>F114</f>
        <v>24567.8</v>
      </c>
      <c r="L113" s="210"/>
      <c r="M113" s="210"/>
      <c r="N113" s="210"/>
    </row>
    <row r="114" spans="1:14" s="96" customFormat="1" ht="25.5" x14ac:dyDescent="0.2">
      <c r="A114" s="24" t="s">
        <v>64</v>
      </c>
      <c r="B114" s="75" t="s">
        <v>367</v>
      </c>
      <c r="C114" s="75" t="s">
        <v>65</v>
      </c>
      <c r="D114" s="119">
        <f>'ведомств. стр. 2025-2027'!G139</f>
        <v>21999.600000000002</v>
      </c>
      <c r="E114" s="119">
        <f>'ведомств. стр. 2025-2027'!H139</f>
        <v>24567.8</v>
      </c>
      <c r="F114" s="119">
        <f>'ведомств. стр. 2025-2027'!I139</f>
        <v>24567.8</v>
      </c>
      <c r="L114" s="210"/>
      <c r="M114" s="210"/>
      <c r="N114" s="210"/>
    </row>
    <row r="115" spans="1:14" s="96" customFormat="1" ht="12.75" x14ac:dyDescent="0.2">
      <c r="A115" s="24" t="s">
        <v>240</v>
      </c>
      <c r="B115" s="75" t="s">
        <v>247</v>
      </c>
      <c r="C115" s="75"/>
      <c r="D115" s="119">
        <f>D116+D117+D118</f>
        <v>6183.4</v>
      </c>
      <c r="E115" s="119">
        <f t="shared" ref="E115:F115" si="35">E116+E117+E118</f>
        <v>6177.8000000000011</v>
      </c>
      <c r="F115" s="119">
        <f t="shared" si="35"/>
        <v>6221.2000000000007</v>
      </c>
      <c r="L115" s="210"/>
      <c r="M115" s="210"/>
      <c r="N115" s="210"/>
    </row>
    <row r="116" spans="1:14" s="96" customFormat="1" ht="38.25" x14ac:dyDescent="0.2">
      <c r="A116" s="24" t="s">
        <v>225</v>
      </c>
      <c r="B116" s="75" t="s">
        <v>247</v>
      </c>
      <c r="C116" s="75" t="s">
        <v>66</v>
      </c>
      <c r="D116" s="119">
        <f>'ведомств. стр. 2025-2027'!G141</f>
        <v>2644.2</v>
      </c>
      <c r="E116" s="119">
        <f>'ведомств. стр. 2025-2027'!H141</f>
        <v>2805.3</v>
      </c>
      <c r="F116" s="119">
        <f>'ведомств. стр. 2025-2027'!I141</f>
        <v>2805.3</v>
      </c>
      <c r="L116" s="210"/>
      <c r="M116" s="210"/>
      <c r="N116" s="210"/>
    </row>
    <row r="117" spans="1:14" s="96" customFormat="1" ht="25.5" x14ac:dyDescent="0.2">
      <c r="A117" s="24" t="s">
        <v>226</v>
      </c>
      <c r="B117" s="75" t="s">
        <v>247</v>
      </c>
      <c r="C117" s="75" t="s">
        <v>59</v>
      </c>
      <c r="D117" s="119">
        <f>'ведомств. стр. 2025-2027'!G142</f>
        <v>3535.1</v>
      </c>
      <c r="E117" s="119">
        <f>'ведомств. стр. 2025-2027'!H142</f>
        <v>3368.4</v>
      </c>
      <c r="F117" s="119">
        <f>'ведомств. стр. 2025-2027'!I142</f>
        <v>3411.8</v>
      </c>
      <c r="L117" s="210"/>
      <c r="M117" s="210"/>
      <c r="N117" s="210"/>
    </row>
    <row r="118" spans="1:14" s="96" customFormat="1" ht="12.75" x14ac:dyDescent="0.2">
      <c r="A118" s="24" t="s">
        <v>61</v>
      </c>
      <c r="B118" s="75" t="s">
        <v>247</v>
      </c>
      <c r="C118" s="75" t="s">
        <v>62</v>
      </c>
      <c r="D118" s="119">
        <f>'ведомств. стр. 2025-2027'!G143</f>
        <v>4.0999999999999996</v>
      </c>
      <c r="E118" s="119">
        <f>'ведомств. стр. 2025-2027'!H143</f>
        <v>4.0999999999999996</v>
      </c>
      <c r="F118" s="119">
        <f>'ведомств. стр. 2025-2027'!I143</f>
        <v>4.0999999999999996</v>
      </c>
      <c r="L118" s="210"/>
      <c r="M118" s="210"/>
      <c r="N118" s="210"/>
    </row>
    <row r="119" spans="1:14" s="96" customFormat="1" ht="63.75" x14ac:dyDescent="0.2">
      <c r="A119" s="24" t="s">
        <v>300</v>
      </c>
      <c r="B119" s="75" t="s">
        <v>167</v>
      </c>
      <c r="C119" s="75"/>
      <c r="D119" s="119">
        <f>D120+D121+D122</f>
        <v>896013.9</v>
      </c>
      <c r="E119" s="119">
        <f>E120+E121+E122</f>
        <v>1155106.8999999999</v>
      </c>
      <c r="F119" s="119">
        <f>F120+F121+F122</f>
        <v>1223994.8999999999</v>
      </c>
      <c r="L119" s="210"/>
      <c r="M119" s="210"/>
      <c r="N119" s="210"/>
    </row>
    <row r="120" spans="1:14" s="96" customFormat="1" ht="38.25" x14ac:dyDescent="0.2">
      <c r="A120" s="24" t="s">
        <v>225</v>
      </c>
      <c r="B120" s="75" t="s">
        <v>167</v>
      </c>
      <c r="C120" s="75" t="s">
        <v>66</v>
      </c>
      <c r="D120" s="119">
        <f>'ведомств. стр. 2025-2027'!G145</f>
        <v>27826.1</v>
      </c>
      <c r="E120" s="119">
        <f>'ведомств. стр. 2025-2027'!H145</f>
        <v>27825</v>
      </c>
      <c r="F120" s="119">
        <f>'ведомств. стр. 2025-2027'!I145</f>
        <v>27825</v>
      </c>
      <c r="L120" s="210"/>
      <c r="M120" s="210"/>
      <c r="N120" s="210"/>
    </row>
    <row r="121" spans="1:14" s="96" customFormat="1" ht="25.5" x14ac:dyDescent="0.2">
      <c r="A121" s="24" t="s">
        <v>226</v>
      </c>
      <c r="B121" s="75" t="s">
        <v>167</v>
      </c>
      <c r="C121" s="75" t="s">
        <v>59</v>
      </c>
      <c r="D121" s="119">
        <f>'ведомств. стр. 2025-2027'!G146</f>
        <v>96.9</v>
      </c>
      <c r="E121" s="119">
        <f>'ведомств. стр. 2025-2027'!H146</f>
        <v>98</v>
      </c>
      <c r="F121" s="119">
        <f>'ведомств. стр. 2025-2027'!I146</f>
        <v>98</v>
      </c>
      <c r="L121" s="210"/>
      <c r="M121" s="210"/>
      <c r="N121" s="210"/>
    </row>
    <row r="122" spans="1:14" s="96" customFormat="1" ht="25.5" x14ac:dyDescent="0.2">
      <c r="A122" s="24" t="s">
        <v>64</v>
      </c>
      <c r="B122" s="75" t="s">
        <v>167</v>
      </c>
      <c r="C122" s="75" t="s">
        <v>65</v>
      </c>
      <c r="D122" s="119">
        <f>'ведомств. стр. 2025-2027'!G147</f>
        <v>868090.9</v>
      </c>
      <c r="E122" s="119">
        <f>'ведомств. стр. 2025-2027'!H147</f>
        <v>1127183.8999999999</v>
      </c>
      <c r="F122" s="119">
        <f>'ведомств. стр. 2025-2027'!I147</f>
        <v>1196071.8999999999</v>
      </c>
      <c r="L122" s="210"/>
      <c r="M122" s="210"/>
      <c r="N122" s="210"/>
    </row>
    <row r="123" spans="1:14" s="96" customFormat="1" ht="63.75" x14ac:dyDescent="0.2">
      <c r="A123" s="24" t="s">
        <v>301</v>
      </c>
      <c r="B123" s="75" t="s">
        <v>168</v>
      </c>
      <c r="C123" s="75"/>
      <c r="D123" s="119">
        <f>D124</f>
        <v>7546.7</v>
      </c>
      <c r="E123" s="119">
        <f>E124</f>
        <v>7341.4</v>
      </c>
      <c r="F123" s="119">
        <f>F124</f>
        <v>7341.4</v>
      </c>
      <c r="L123" s="210"/>
      <c r="M123" s="210"/>
      <c r="N123" s="210"/>
    </row>
    <row r="124" spans="1:14" s="96" customFormat="1" ht="25.5" x14ac:dyDescent="0.2">
      <c r="A124" s="24" t="s">
        <v>64</v>
      </c>
      <c r="B124" s="75" t="s">
        <v>168</v>
      </c>
      <c r="C124" s="75" t="s">
        <v>65</v>
      </c>
      <c r="D124" s="119">
        <f>'ведомств. стр. 2025-2027'!G149</f>
        <v>7546.7</v>
      </c>
      <c r="E124" s="119">
        <f>'ведомств. стр. 2025-2027'!H149</f>
        <v>7341.4</v>
      </c>
      <c r="F124" s="119">
        <f>'ведомств. стр. 2025-2027'!I149</f>
        <v>7341.4</v>
      </c>
      <c r="L124" s="210"/>
      <c r="M124" s="210"/>
      <c r="N124" s="210"/>
    </row>
    <row r="125" spans="1:14" s="96" customFormat="1" ht="26.25" customHeight="1" x14ac:dyDescent="0.2">
      <c r="A125" s="72" t="s">
        <v>738</v>
      </c>
      <c r="B125" s="73" t="s">
        <v>297</v>
      </c>
      <c r="C125" s="73"/>
      <c r="D125" s="116">
        <f>D126+D128+D130</f>
        <v>86161.800000000017</v>
      </c>
      <c r="E125" s="116">
        <f t="shared" ref="E125:F125" si="36">E126+E128+E130</f>
        <v>34515.1</v>
      </c>
      <c r="F125" s="116">
        <f t="shared" si="36"/>
        <v>1634.7</v>
      </c>
      <c r="L125" s="210"/>
      <c r="M125" s="210"/>
      <c r="N125" s="210"/>
    </row>
    <row r="126" spans="1:14" s="96" customFormat="1" ht="12.75" x14ac:dyDescent="0.2">
      <c r="A126" s="24" t="s">
        <v>289</v>
      </c>
      <c r="B126" s="75" t="s">
        <v>318</v>
      </c>
      <c r="C126" s="75"/>
      <c r="D126" s="119">
        <f t="shared" ref="D126:F126" si="37">D127</f>
        <v>743.80000000000007</v>
      </c>
      <c r="E126" s="119">
        <f t="shared" si="37"/>
        <v>1634.7</v>
      </c>
      <c r="F126" s="119">
        <f t="shared" si="37"/>
        <v>1634.7</v>
      </c>
      <c r="L126" s="210"/>
      <c r="M126" s="210"/>
      <c r="N126" s="210"/>
    </row>
    <row r="127" spans="1:14" s="96" customFormat="1" ht="28.5" customHeight="1" x14ac:dyDescent="0.2">
      <c r="A127" s="24" t="s">
        <v>64</v>
      </c>
      <c r="B127" s="75" t="s">
        <v>318</v>
      </c>
      <c r="C127" s="75" t="s">
        <v>65</v>
      </c>
      <c r="D127" s="119">
        <f>'ведомств. стр. 2025-2027'!G152</f>
        <v>743.80000000000007</v>
      </c>
      <c r="E127" s="119">
        <f>'ведомств. стр. 2025-2027'!H152</f>
        <v>1634.7</v>
      </c>
      <c r="F127" s="119">
        <f>'ведомств. стр. 2025-2027'!I152</f>
        <v>1634.7</v>
      </c>
      <c r="L127" s="210"/>
      <c r="M127" s="210"/>
      <c r="N127" s="210"/>
    </row>
    <row r="128" spans="1:14" s="96" customFormat="1" ht="12.75" x14ac:dyDescent="0.2">
      <c r="A128" s="24" t="s">
        <v>671</v>
      </c>
      <c r="B128" s="75" t="s">
        <v>670</v>
      </c>
      <c r="C128" s="75"/>
      <c r="D128" s="119">
        <f>D129</f>
        <v>6683.3</v>
      </c>
      <c r="E128" s="119">
        <f t="shared" ref="E128:F128" si="38">E129</f>
        <v>0</v>
      </c>
      <c r="F128" s="119">
        <f t="shared" si="38"/>
        <v>0</v>
      </c>
      <c r="L128" s="210"/>
      <c r="M128" s="210"/>
      <c r="N128" s="210"/>
    </row>
    <row r="129" spans="1:14" s="96" customFormat="1" ht="25.5" x14ac:dyDescent="0.2">
      <c r="A129" s="24" t="s">
        <v>64</v>
      </c>
      <c r="B129" s="75" t="s">
        <v>670</v>
      </c>
      <c r="C129" s="75" t="s">
        <v>65</v>
      </c>
      <c r="D129" s="119">
        <f>'ведомств. стр. 2025-2027'!G154</f>
        <v>6683.3</v>
      </c>
      <c r="E129" s="119">
        <f>'ведомств. стр. 2025-2027'!H154</f>
        <v>0</v>
      </c>
      <c r="F129" s="119">
        <f>'ведомств. стр. 2025-2027'!I154</f>
        <v>0</v>
      </c>
      <c r="L129" s="210"/>
      <c r="M129" s="210"/>
      <c r="N129" s="210"/>
    </row>
    <row r="130" spans="1:14" s="96" customFormat="1" ht="25.5" x14ac:dyDescent="0.2">
      <c r="A130" s="24" t="s">
        <v>677</v>
      </c>
      <c r="B130" s="75" t="s">
        <v>676</v>
      </c>
      <c r="C130" s="75"/>
      <c r="D130" s="119">
        <f>D132+D131</f>
        <v>78734.700000000012</v>
      </c>
      <c r="E130" s="119">
        <f t="shared" ref="E130:F130" si="39">E132</f>
        <v>32880.400000000001</v>
      </c>
      <c r="F130" s="119">
        <f t="shared" si="39"/>
        <v>0</v>
      </c>
      <c r="L130" s="210"/>
      <c r="M130" s="210"/>
      <c r="N130" s="210"/>
    </row>
    <row r="131" spans="1:14" s="96" customFormat="1" ht="25.5" x14ac:dyDescent="0.2">
      <c r="A131" s="24" t="s">
        <v>226</v>
      </c>
      <c r="B131" s="75" t="s">
        <v>676</v>
      </c>
      <c r="C131" s="75" t="s">
        <v>59</v>
      </c>
      <c r="D131" s="119">
        <f>'ведомств. стр. 2025-2027'!G156</f>
        <v>1672.6</v>
      </c>
      <c r="E131" s="119">
        <f>'ведомств. стр. 2025-2027'!H156</f>
        <v>0</v>
      </c>
      <c r="F131" s="119">
        <f>'ведомств. стр. 2025-2027'!I156</f>
        <v>0</v>
      </c>
      <c r="L131" s="210"/>
      <c r="M131" s="210"/>
      <c r="N131" s="210"/>
    </row>
    <row r="132" spans="1:14" s="96" customFormat="1" ht="25.5" x14ac:dyDescent="0.2">
      <c r="A132" s="24" t="s">
        <v>64</v>
      </c>
      <c r="B132" s="75" t="s">
        <v>676</v>
      </c>
      <c r="C132" s="75" t="s">
        <v>65</v>
      </c>
      <c r="D132" s="119">
        <f>'ведомств. стр. 2025-2027'!G157</f>
        <v>77062.100000000006</v>
      </c>
      <c r="E132" s="119">
        <f>'ведомств. стр. 2025-2027'!H157</f>
        <v>32880.400000000001</v>
      </c>
      <c r="F132" s="119">
        <f>'ведомств. стр. 2025-2027'!I157</f>
        <v>0</v>
      </c>
      <c r="L132" s="210"/>
      <c r="M132" s="210"/>
      <c r="N132" s="210"/>
    </row>
    <row r="133" spans="1:14" s="96" customFormat="1" ht="29.25" customHeight="1" x14ac:dyDescent="0.2">
      <c r="A133" s="72" t="s">
        <v>739</v>
      </c>
      <c r="B133" s="73" t="s">
        <v>108</v>
      </c>
      <c r="C133" s="73"/>
      <c r="D133" s="116">
        <f>D134+D136</f>
        <v>960</v>
      </c>
      <c r="E133" s="116">
        <f>E134+E136</f>
        <v>960</v>
      </c>
      <c r="F133" s="116">
        <f>F134+F136</f>
        <v>960</v>
      </c>
      <c r="L133" s="210"/>
      <c r="M133" s="210"/>
      <c r="N133" s="210"/>
    </row>
    <row r="134" spans="1:14" s="96" customFormat="1" ht="25.5" x14ac:dyDescent="0.2">
      <c r="A134" s="24" t="s">
        <v>290</v>
      </c>
      <c r="B134" s="75" t="s">
        <v>248</v>
      </c>
      <c r="C134" s="75"/>
      <c r="D134" s="119">
        <f>D135</f>
        <v>60</v>
      </c>
      <c r="E134" s="119">
        <f>E135</f>
        <v>60</v>
      </c>
      <c r="F134" s="119">
        <f>F135</f>
        <v>60</v>
      </c>
      <c r="L134" s="210"/>
      <c r="M134" s="210"/>
      <c r="N134" s="210"/>
    </row>
    <row r="135" spans="1:14" s="96" customFormat="1" ht="25.5" x14ac:dyDescent="0.2">
      <c r="A135" s="24" t="s">
        <v>64</v>
      </c>
      <c r="B135" s="75" t="s">
        <v>248</v>
      </c>
      <c r="C135" s="75" t="s">
        <v>65</v>
      </c>
      <c r="D135" s="119">
        <f>'ведомств. стр. 2025-2027'!G160</f>
        <v>60</v>
      </c>
      <c r="E135" s="119">
        <f>'ведомств. стр. 2025-2027'!H160</f>
        <v>60</v>
      </c>
      <c r="F135" s="119">
        <f>'ведомств. стр. 2025-2027'!I160</f>
        <v>60</v>
      </c>
      <c r="L135" s="210"/>
      <c r="M135" s="210"/>
      <c r="N135" s="210"/>
    </row>
    <row r="136" spans="1:14" s="96" customFormat="1" ht="25.5" x14ac:dyDescent="0.2">
      <c r="A136" s="24" t="s">
        <v>83</v>
      </c>
      <c r="B136" s="75" t="s">
        <v>249</v>
      </c>
      <c r="C136" s="75"/>
      <c r="D136" s="119">
        <f>D137</f>
        <v>900</v>
      </c>
      <c r="E136" s="119">
        <f>E137</f>
        <v>900</v>
      </c>
      <c r="F136" s="119">
        <f>F137</f>
        <v>900</v>
      </c>
      <c r="L136" s="210"/>
      <c r="M136" s="210"/>
      <c r="N136" s="210"/>
    </row>
    <row r="137" spans="1:14" s="96" customFormat="1" ht="25.5" x14ac:dyDescent="0.2">
      <c r="A137" s="24" t="s">
        <v>64</v>
      </c>
      <c r="B137" s="75" t="s">
        <v>249</v>
      </c>
      <c r="C137" s="75" t="s">
        <v>65</v>
      </c>
      <c r="D137" s="119">
        <f>'ведомств. стр. 2025-2027'!G162</f>
        <v>900</v>
      </c>
      <c r="E137" s="119">
        <f>'ведомств. стр. 2025-2027'!H162</f>
        <v>900</v>
      </c>
      <c r="F137" s="119">
        <f>'ведомств. стр. 2025-2027'!I162</f>
        <v>900</v>
      </c>
      <c r="L137" s="210"/>
      <c r="M137" s="210"/>
      <c r="N137" s="210"/>
    </row>
    <row r="138" spans="1:14" s="96" customFormat="1" ht="12.75" x14ac:dyDescent="0.2">
      <c r="A138" s="72" t="s">
        <v>753</v>
      </c>
      <c r="B138" s="73" t="s">
        <v>109</v>
      </c>
      <c r="C138" s="73"/>
      <c r="D138" s="116">
        <f>D139+D141</f>
        <v>8766.1</v>
      </c>
      <c r="E138" s="116">
        <f t="shared" ref="E138:F138" si="40">E139+E141</f>
        <v>8906.3000000000011</v>
      </c>
      <c r="F138" s="116">
        <f t="shared" si="40"/>
        <v>8906.3000000000011</v>
      </c>
      <c r="L138" s="210"/>
      <c r="M138" s="210"/>
      <c r="N138" s="210"/>
    </row>
    <row r="139" spans="1:14" s="96" customFormat="1" ht="12.75" x14ac:dyDescent="0.2">
      <c r="A139" s="24" t="s">
        <v>307</v>
      </c>
      <c r="B139" s="75" t="s">
        <v>251</v>
      </c>
      <c r="C139" s="75"/>
      <c r="D139" s="119">
        <f>D140</f>
        <v>3490.9</v>
      </c>
      <c r="E139" s="119">
        <f>E140</f>
        <v>3631.1</v>
      </c>
      <c r="F139" s="119">
        <f>F140</f>
        <v>3631.1</v>
      </c>
      <c r="L139" s="210"/>
      <c r="M139" s="210"/>
      <c r="N139" s="210"/>
    </row>
    <row r="140" spans="1:14" s="96" customFormat="1" ht="25.5" x14ac:dyDescent="0.2">
      <c r="A140" s="24" t="s">
        <v>64</v>
      </c>
      <c r="B140" s="75" t="s">
        <v>251</v>
      </c>
      <c r="C140" s="75" t="s">
        <v>65</v>
      </c>
      <c r="D140" s="119">
        <f>'ведомств. стр. 2025-2027'!G259</f>
        <v>3490.9</v>
      </c>
      <c r="E140" s="119">
        <f>'ведомств. стр. 2025-2027'!H259</f>
        <v>3631.1</v>
      </c>
      <c r="F140" s="119">
        <f>'ведомств. стр. 2025-2027'!I259</f>
        <v>3631.1</v>
      </c>
      <c r="L140" s="210"/>
      <c r="M140" s="210"/>
      <c r="N140" s="210"/>
    </row>
    <row r="141" spans="1:14" s="96" customFormat="1" ht="25.5" x14ac:dyDescent="0.2">
      <c r="A141" s="24" t="s">
        <v>611</v>
      </c>
      <c r="B141" s="75" t="s">
        <v>610</v>
      </c>
      <c r="C141" s="75"/>
      <c r="D141" s="119">
        <f>D142</f>
        <v>5275.2</v>
      </c>
      <c r="E141" s="119">
        <f t="shared" ref="E141:F141" si="41">E142</f>
        <v>5275.2000000000007</v>
      </c>
      <c r="F141" s="119">
        <f t="shared" si="41"/>
        <v>5275.2000000000007</v>
      </c>
      <c r="L141" s="210"/>
      <c r="M141" s="210"/>
      <c r="N141" s="210"/>
    </row>
    <row r="142" spans="1:14" s="96" customFormat="1" ht="25.5" x14ac:dyDescent="0.2">
      <c r="A142" s="24" t="s">
        <v>64</v>
      </c>
      <c r="B142" s="75" t="s">
        <v>610</v>
      </c>
      <c r="C142" s="75" t="s">
        <v>65</v>
      </c>
      <c r="D142" s="119">
        <f>'ведомств. стр. 2025-2027'!G261</f>
        <v>5275.2</v>
      </c>
      <c r="E142" s="119">
        <f>'ведомств. стр. 2025-2027'!H261</f>
        <v>5275.2000000000007</v>
      </c>
      <c r="F142" s="119">
        <f>'ведомств. стр. 2025-2027'!I261</f>
        <v>5275.2000000000007</v>
      </c>
      <c r="L142" s="210"/>
      <c r="M142" s="210"/>
      <c r="N142" s="210"/>
    </row>
    <row r="143" spans="1:14" s="96" customFormat="1" ht="51" x14ac:dyDescent="0.2">
      <c r="A143" s="72" t="s">
        <v>740</v>
      </c>
      <c r="B143" s="73" t="s">
        <v>328</v>
      </c>
      <c r="C143" s="73"/>
      <c r="D143" s="116">
        <f>D144+D147+D150</f>
        <v>184777.8</v>
      </c>
      <c r="E143" s="116">
        <f t="shared" ref="E143:F143" si="42">E144+E147+E150</f>
        <v>210541.00000000003</v>
      </c>
      <c r="F143" s="116">
        <f t="shared" si="42"/>
        <v>204373.5</v>
      </c>
      <c r="L143" s="210"/>
      <c r="M143" s="210"/>
      <c r="N143" s="210"/>
    </row>
    <row r="144" spans="1:14" s="96" customFormat="1" ht="12.75" x14ac:dyDescent="0.2">
      <c r="A144" s="24" t="s">
        <v>375</v>
      </c>
      <c r="B144" s="75" t="s">
        <v>374</v>
      </c>
      <c r="C144" s="75"/>
      <c r="D144" s="119">
        <f>D146+D145</f>
        <v>63890.500000000007</v>
      </c>
      <c r="E144" s="119">
        <f t="shared" ref="E144:F144" si="43">E146+E145</f>
        <v>98191.6</v>
      </c>
      <c r="F144" s="119">
        <f t="shared" si="43"/>
        <v>95812.3</v>
      </c>
      <c r="L144" s="210"/>
      <c r="M144" s="210"/>
      <c r="N144" s="210"/>
    </row>
    <row r="145" spans="1:14" s="96" customFormat="1" ht="25.5" x14ac:dyDescent="0.2">
      <c r="A145" s="24" t="s">
        <v>226</v>
      </c>
      <c r="B145" s="75" t="s">
        <v>374</v>
      </c>
      <c r="C145" s="75" t="s">
        <v>59</v>
      </c>
      <c r="D145" s="119">
        <f>'ведомств. стр. 2025-2027'!G165</f>
        <v>3928</v>
      </c>
      <c r="E145" s="119">
        <f>'ведомств. стр. 2025-2027'!H165</f>
        <v>4000</v>
      </c>
      <c r="F145" s="119">
        <f>'ведомств. стр. 2025-2027'!I165</f>
        <v>4000</v>
      </c>
      <c r="L145" s="210"/>
      <c r="M145" s="210"/>
      <c r="N145" s="210"/>
    </row>
    <row r="146" spans="1:14" s="96" customFormat="1" ht="25.5" x14ac:dyDescent="0.2">
      <c r="A146" s="24" t="s">
        <v>64</v>
      </c>
      <c r="B146" s="75" t="s">
        <v>374</v>
      </c>
      <c r="C146" s="75" t="s">
        <v>65</v>
      </c>
      <c r="D146" s="119">
        <f>'ведомств. стр. 2025-2027'!G166</f>
        <v>59962.500000000007</v>
      </c>
      <c r="E146" s="119">
        <f>'ведомств. стр. 2025-2027'!H166</f>
        <v>94191.6</v>
      </c>
      <c r="F146" s="119">
        <f>'ведомств. стр. 2025-2027'!I166</f>
        <v>91812.3</v>
      </c>
      <c r="L146" s="210"/>
      <c r="M146" s="210"/>
      <c r="N146" s="210"/>
    </row>
    <row r="147" spans="1:14" s="96" customFormat="1" ht="38.25" x14ac:dyDescent="0.2">
      <c r="A147" s="24" t="s">
        <v>608</v>
      </c>
      <c r="B147" s="75" t="s">
        <v>607</v>
      </c>
      <c r="C147" s="75"/>
      <c r="D147" s="119">
        <f>D148+D149</f>
        <v>100536.19999999998</v>
      </c>
      <c r="E147" s="119">
        <f t="shared" ref="E147:F147" si="44">E148+E149</f>
        <v>91998.3</v>
      </c>
      <c r="F147" s="119">
        <f t="shared" si="44"/>
        <v>88210.099999999991</v>
      </c>
      <c r="L147" s="210"/>
      <c r="M147" s="210"/>
      <c r="N147" s="210"/>
    </row>
    <row r="148" spans="1:14" s="96" customFormat="1" ht="25.5" x14ac:dyDescent="0.2">
      <c r="A148" s="24" t="s">
        <v>226</v>
      </c>
      <c r="B148" s="75" t="s">
        <v>607</v>
      </c>
      <c r="C148" s="75" t="s">
        <v>59</v>
      </c>
      <c r="D148" s="119">
        <f>'ведомств. стр. 2025-2027'!G168</f>
        <v>672</v>
      </c>
      <c r="E148" s="119">
        <f>'ведомств. стр. 2025-2027'!H168</f>
        <v>600</v>
      </c>
      <c r="F148" s="119">
        <f>'ведомств. стр. 2025-2027'!I168</f>
        <v>598.9</v>
      </c>
      <c r="L148" s="210"/>
      <c r="M148" s="210"/>
      <c r="N148" s="210"/>
    </row>
    <row r="149" spans="1:14" s="96" customFormat="1" ht="25.5" x14ac:dyDescent="0.2">
      <c r="A149" s="24" t="s">
        <v>64</v>
      </c>
      <c r="B149" s="75" t="s">
        <v>607</v>
      </c>
      <c r="C149" s="75" t="s">
        <v>65</v>
      </c>
      <c r="D149" s="119">
        <f>'ведомств. стр. 2025-2027'!G169</f>
        <v>99864.199999999983</v>
      </c>
      <c r="E149" s="119">
        <f>'ведомств. стр. 2025-2027'!H169</f>
        <v>91398.3</v>
      </c>
      <c r="F149" s="119">
        <f>'ведомств. стр. 2025-2027'!I169</f>
        <v>87611.199999999997</v>
      </c>
      <c r="L149" s="210"/>
      <c r="M149" s="210"/>
      <c r="N149" s="210"/>
    </row>
    <row r="150" spans="1:14" s="96" customFormat="1" ht="38.25" x14ac:dyDescent="0.2">
      <c r="A150" s="24" t="s">
        <v>632</v>
      </c>
      <c r="B150" s="75" t="s">
        <v>609</v>
      </c>
      <c r="C150" s="75"/>
      <c r="D150" s="119">
        <f>D153+D151+D152</f>
        <v>20351.099999999999</v>
      </c>
      <c r="E150" s="119">
        <f t="shared" ref="E150:F150" si="45">E153+E151+E152</f>
        <v>20351.099999999999</v>
      </c>
      <c r="F150" s="119">
        <f t="shared" si="45"/>
        <v>20351.099999999999</v>
      </c>
      <c r="L150" s="210"/>
      <c r="M150" s="210"/>
      <c r="N150" s="210"/>
    </row>
    <row r="151" spans="1:14" s="96" customFormat="1" ht="25.5" x14ac:dyDescent="0.2">
      <c r="A151" s="24" t="s">
        <v>226</v>
      </c>
      <c r="B151" s="75" t="s">
        <v>609</v>
      </c>
      <c r="C151" s="75" t="s">
        <v>59</v>
      </c>
      <c r="D151" s="119">
        <f>'ведомств. стр. 2025-2027'!G171</f>
        <v>200</v>
      </c>
      <c r="E151" s="119">
        <f>'ведомств. стр. 2025-2027'!H171</f>
        <v>200</v>
      </c>
      <c r="F151" s="119">
        <f>'ведомств. стр. 2025-2027'!I171</f>
        <v>180</v>
      </c>
      <c r="L151" s="210"/>
      <c r="M151" s="210"/>
      <c r="N151" s="210"/>
    </row>
    <row r="152" spans="1:14" s="96" customFormat="1" ht="12.75" x14ac:dyDescent="0.2">
      <c r="A152" s="28" t="s">
        <v>85</v>
      </c>
      <c r="B152" s="75" t="s">
        <v>609</v>
      </c>
      <c r="C152" s="75" t="s">
        <v>86</v>
      </c>
      <c r="D152" s="119">
        <f>'ведомств. стр. 2025-2027'!G172</f>
        <v>500</v>
      </c>
      <c r="E152" s="119">
        <f>'ведомств. стр. 2025-2027'!H172</f>
        <v>500</v>
      </c>
      <c r="F152" s="119">
        <f>'ведомств. стр. 2025-2027'!I172</f>
        <v>450</v>
      </c>
      <c r="L152" s="210"/>
      <c r="M152" s="210"/>
      <c r="N152" s="210"/>
    </row>
    <row r="153" spans="1:14" s="96" customFormat="1" ht="25.5" x14ac:dyDescent="0.2">
      <c r="A153" s="24" t="s">
        <v>64</v>
      </c>
      <c r="B153" s="75" t="s">
        <v>609</v>
      </c>
      <c r="C153" s="75" t="s">
        <v>65</v>
      </c>
      <c r="D153" s="119">
        <f>'ведомств. стр. 2025-2027'!G173</f>
        <v>19651.099999999999</v>
      </c>
      <c r="E153" s="119">
        <f>'ведомств. стр. 2025-2027'!H173</f>
        <v>19651.099999999999</v>
      </c>
      <c r="F153" s="119">
        <f>'ведомств. стр. 2025-2027'!I173</f>
        <v>19721.099999999999</v>
      </c>
      <c r="L153" s="210"/>
      <c r="M153" s="210"/>
      <c r="N153" s="210"/>
    </row>
    <row r="154" spans="1:14" s="96" customFormat="1" ht="33" customHeight="1" x14ac:dyDescent="0.2">
      <c r="A154" s="72" t="s">
        <v>779</v>
      </c>
      <c r="B154" s="73" t="s">
        <v>543</v>
      </c>
      <c r="C154" s="73"/>
      <c r="D154" s="116">
        <f t="shared" ref="D154:F155" si="46">D155</f>
        <v>30</v>
      </c>
      <c r="E154" s="116">
        <f t="shared" si="46"/>
        <v>30</v>
      </c>
      <c r="F154" s="116">
        <f t="shared" si="46"/>
        <v>30</v>
      </c>
      <c r="L154" s="210"/>
      <c r="M154" s="210"/>
      <c r="N154" s="210"/>
    </row>
    <row r="155" spans="1:14" s="96" customFormat="1" ht="25.5" x14ac:dyDescent="0.2">
      <c r="A155" s="24" t="s">
        <v>234</v>
      </c>
      <c r="B155" s="75" t="s">
        <v>544</v>
      </c>
      <c r="C155" s="75"/>
      <c r="D155" s="119">
        <f t="shared" si="46"/>
        <v>30</v>
      </c>
      <c r="E155" s="119">
        <f t="shared" si="46"/>
        <v>30</v>
      </c>
      <c r="F155" s="119">
        <f t="shared" si="46"/>
        <v>30</v>
      </c>
      <c r="L155" s="210"/>
      <c r="M155" s="210"/>
      <c r="N155" s="210"/>
    </row>
    <row r="156" spans="1:14" s="96" customFormat="1" ht="28.5" customHeight="1" x14ac:dyDescent="0.2">
      <c r="A156" s="24" t="s">
        <v>234</v>
      </c>
      <c r="B156" s="75" t="s">
        <v>544</v>
      </c>
      <c r="C156" s="75" t="s">
        <v>65</v>
      </c>
      <c r="D156" s="119">
        <f>'ведомств. стр. 2025-2027'!G176</f>
        <v>30</v>
      </c>
      <c r="E156" s="119">
        <f>'ведомств. стр. 2025-2027'!H176</f>
        <v>30</v>
      </c>
      <c r="F156" s="119">
        <f>'ведомств. стр. 2025-2027'!I176</f>
        <v>30</v>
      </c>
      <c r="L156" s="210"/>
      <c r="M156" s="210"/>
      <c r="N156" s="210"/>
    </row>
    <row r="157" spans="1:14" s="96" customFormat="1" ht="28.5" customHeight="1" x14ac:dyDescent="0.2">
      <c r="A157" s="72" t="s">
        <v>902</v>
      </c>
      <c r="B157" s="73" t="s">
        <v>886</v>
      </c>
      <c r="C157" s="73"/>
      <c r="D157" s="116">
        <f>D158</f>
        <v>212678.3</v>
      </c>
      <c r="E157" s="116">
        <f t="shared" ref="E157:F158" si="47">E158</f>
        <v>0</v>
      </c>
      <c r="F157" s="116">
        <f t="shared" si="47"/>
        <v>0</v>
      </c>
      <c r="L157" s="210"/>
      <c r="M157" s="210"/>
      <c r="N157" s="210"/>
    </row>
    <row r="158" spans="1:14" s="96" customFormat="1" ht="28.5" customHeight="1" x14ac:dyDescent="0.2">
      <c r="A158" s="24" t="s">
        <v>888</v>
      </c>
      <c r="B158" s="75" t="s">
        <v>887</v>
      </c>
      <c r="C158" s="75"/>
      <c r="D158" s="119">
        <f>D159</f>
        <v>212678.3</v>
      </c>
      <c r="E158" s="119">
        <f t="shared" si="47"/>
        <v>0</v>
      </c>
      <c r="F158" s="119">
        <f t="shared" si="47"/>
        <v>0</v>
      </c>
      <c r="L158" s="210"/>
      <c r="M158" s="210"/>
      <c r="N158" s="210"/>
    </row>
    <row r="159" spans="1:14" s="96" customFormat="1" ht="28.5" customHeight="1" x14ac:dyDescent="0.2">
      <c r="A159" s="24" t="s">
        <v>226</v>
      </c>
      <c r="B159" s="75" t="s">
        <v>887</v>
      </c>
      <c r="C159" s="75" t="s">
        <v>59</v>
      </c>
      <c r="D159" s="119">
        <f>'ведомств. стр. 2025-2027'!G179</f>
        <v>212678.3</v>
      </c>
      <c r="E159" s="119">
        <f>'ведомств. стр. 2025-2027'!H179</f>
        <v>0</v>
      </c>
      <c r="F159" s="119">
        <f>'ведомств. стр. 2025-2027'!I179</f>
        <v>0</v>
      </c>
      <c r="L159" s="210"/>
      <c r="M159" s="210"/>
      <c r="N159" s="210"/>
    </row>
    <row r="160" spans="1:14" s="96" customFormat="1" ht="25.5" x14ac:dyDescent="0.2">
      <c r="A160" s="72" t="s">
        <v>925</v>
      </c>
      <c r="B160" s="73" t="s">
        <v>924</v>
      </c>
      <c r="C160" s="73"/>
      <c r="D160" s="116">
        <f>D161</f>
        <v>386065.4</v>
      </c>
      <c r="E160" s="116">
        <f t="shared" ref="E160:F161" si="48">E161</f>
        <v>0</v>
      </c>
      <c r="F160" s="116">
        <f t="shared" si="48"/>
        <v>0</v>
      </c>
      <c r="L160" s="210"/>
      <c r="M160" s="210"/>
      <c r="N160" s="210"/>
    </row>
    <row r="161" spans="1:14" s="96" customFormat="1" ht="12.75" x14ac:dyDescent="0.2">
      <c r="A161" s="24" t="s">
        <v>638</v>
      </c>
      <c r="B161" s="75" t="s">
        <v>926</v>
      </c>
      <c r="C161" s="75"/>
      <c r="D161" s="119">
        <f>D162</f>
        <v>386065.4</v>
      </c>
      <c r="E161" s="119">
        <f t="shared" si="48"/>
        <v>0</v>
      </c>
      <c r="F161" s="119">
        <f t="shared" si="48"/>
        <v>0</v>
      </c>
      <c r="L161" s="210"/>
      <c r="M161" s="210"/>
      <c r="N161" s="210"/>
    </row>
    <row r="162" spans="1:14" s="96" customFormat="1" ht="28.5" customHeight="1" x14ac:dyDescent="0.2">
      <c r="A162" s="24" t="s">
        <v>64</v>
      </c>
      <c r="B162" s="75" t="s">
        <v>926</v>
      </c>
      <c r="C162" s="75" t="s">
        <v>65</v>
      </c>
      <c r="D162" s="119">
        <f>'ведомств. стр. 2025-2027'!G182</f>
        <v>386065.4</v>
      </c>
      <c r="E162" s="119">
        <f>'ведомств. стр. 2025-2027'!H182</f>
        <v>0</v>
      </c>
      <c r="F162" s="119">
        <f>'ведомств. стр. 2025-2027'!I182</f>
        <v>0</v>
      </c>
      <c r="L162" s="210"/>
      <c r="M162" s="210"/>
      <c r="N162" s="210"/>
    </row>
    <row r="163" spans="1:14" s="96" customFormat="1" ht="25.5" x14ac:dyDescent="0.2">
      <c r="A163" s="72" t="s">
        <v>928</v>
      </c>
      <c r="B163" s="73" t="s">
        <v>927</v>
      </c>
      <c r="C163" s="73"/>
      <c r="D163" s="116">
        <f>D164+D167+D170</f>
        <v>81454.599999999991</v>
      </c>
      <c r="E163" s="116">
        <f t="shared" ref="E163:F163" si="49">E164+E167+E170</f>
        <v>83708.800000000003</v>
      </c>
      <c r="F163" s="116">
        <f t="shared" si="49"/>
        <v>83812.600000000006</v>
      </c>
      <c r="L163" s="210"/>
      <c r="M163" s="210"/>
      <c r="N163" s="210"/>
    </row>
    <row r="164" spans="1:14" s="96" customFormat="1" ht="76.5" x14ac:dyDescent="0.2">
      <c r="A164" s="24" t="s">
        <v>930</v>
      </c>
      <c r="B164" s="75" t="s">
        <v>929</v>
      </c>
      <c r="C164" s="75"/>
      <c r="D164" s="119">
        <f>D165+D166</f>
        <v>1796.8</v>
      </c>
      <c r="E164" s="119">
        <f t="shared" ref="E164:F164" si="50">E165+E166</f>
        <v>1796.8</v>
      </c>
      <c r="F164" s="119">
        <f t="shared" si="50"/>
        <v>1796.8</v>
      </c>
      <c r="L164" s="210"/>
      <c r="M164" s="210"/>
      <c r="N164" s="210"/>
    </row>
    <row r="165" spans="1:14" s="96" customFormat="1" ht="38.25" x14ac:dyDescent="0.2">
      <c r="A165" s="24" t="s">
        <v>225</v>
      </c>
      <c r="B165" s="75" t="s">
        <v>929</v>
      </c>
      <c r="C165" s="75" t="s">
        <v>66</v>
      </c>
      <c r="D165" s="119">
        <f>'ведомств. стр. 2025-2027'!G185</f>
        <v>78.099999999999994</v>
      </c>
      <c r="E165" s="119">
        <f>'ведомств. стр. 2025-2027'!H185</f>
        <v>78.099999999999994</v>
      </c>
      <c r="F165" s="119">
        <f>'ведомств. стр. 2025-2027'!I185</f>
        <v>78.099999999999994</v>
      </c>
      <c r="L165" s="210"/>
      <c r="M165" s="210"/>
      <c r="N165" s="210"/>
    </row>
    <row r="166" spans="1:14" s="96" customFormat="1" ht="25.5" x14ac:dyDescent="0.2">
      <c r="A166" s="24" t="s">
        <v>64</v>
      </c>
      <c r="B166" s="75" t="s">
        <v>929</v>
      </c>
      <c r="C166" s="75" t="s">
        <v>65</v>
      </c>
      <c r="D166" s="119">
        <f>'ведомств. стр. 2025-2027'!G186</f>
        <v>1718.7</v>
      </c>
      <c r="E166" s="119">
        <f>'ведомств. стр. 2025-2027'!H186</f>
        <v>1718.7</v>
      </c>
      <c r="F166" s="119">
        <f>'ведомств. стр. 2025-2027'!I186</f>
        <v>1718.7</v>
      </c>
      <c r="L166" s="210"/>
      <c r="M166" s="210"/>
      <c r="N166" s="210"/>
    </row>
    <row r="167" spans="1:14" s="96" customFormat="1" ht="38.25" x14ac:dyDescent="0.2">
      <c r="A167" s="24" t="s">
        <v>669</v>
      </c>
      <c r="B167" s="75" t="s">
        <v>931</v>
      </c>
      <c r="C167" s="75"/>
      <c r="D167" s="119">
        <f>D168+D169</f>
        <v>5659.2000000000007</v>
      </c>
      <c r="E167" s="119">
        <f t="shared" ref="E167:F167" si="51">E168+E169</f>
        <v>5745</v>
      </c>
      <c r="F167" s="119">
        <f t="shared" si="51"/>
        <v>5848.8</v>
      </c>
      <c r="L167" s="210"/>
      <c r="M167" s="210"/>
      <c r="N167" s="210"/>
    </row>
    <row r="168" spans="1:14" s="96" customFormat="1" ht="38.25" x14ac:dyDescent="0.2">
      <c r="A168" s="24" t="s">
        <v>225</v>
      </c>
      <c r="B168" s="75" t="s">
        <v>931</v>
      </c>
      <c r="C168" s="75" t="s">
        <v>66</v>
      </c>
      <c r="D168" s="119">
        <f>'ведомств. стр. 2025-2027'!G188</f>
        <v>242.6</v>
      </c>
      <c r="E168" s="119">
        <f>'ведомств. стр. 2025-2027'!H188</f>
        <v>242.6</v>
      </c>
      <c r="F168" s="119">
        <f>'ведомств. стр. 2025-2027'!I188</f>
        <v>242.6</v>
      </c>
      <c r="L168" s="210"/>
      <c r="M168" s="210"/>
      <c r="N168" s="210"/>
    </row>
    <row r="169" spans="1:14" s="96" customFormat="1" ht="28.5" customHeight="1" x14ac:dyDescent="0.2">
      <c r="A169" s="24" t="s">
        <v>64</v>
      </c>
      <c r="B169" s="75" t="s">
        <v>931</v>
      </c>
      <c r="C169" s="75" t="s">
        <v>65</v>
      </c>
      <c r="D169" s="119">
        <f>'ведомств. стр. 2025-2027'!G189</f>
        <v>5416.6</v>
      </c>
      <c r="E169" s="119">
        <f>'ведомств. стр. 2025-2027'!H189</f>
        <v>5502.4</v>
      </c>
      <c r="F169" s="119">
        <f>'ведомств. стр. 2025-2027'!I189</f>
        <v>5606.2</v>
      </c>
      <c r="L169" s="210"/>
      <c r="M169" s="210"/>
      <c r="N169" s="210"/>
    </row>
    <row r="170" spans="1:14" s="96" customFormat="1" ht="28.5" customHeight="1" x14ac:dyDescent="0.2">
      <c r="A170" s="24" t="s">
        <v>350</v>
      </c>
      <c r="B170" s="75" t="s">
        <v>932</v>
      </c>
      <c r="C170" s="75"/>
      <c r="D170" s="119">
        <f>D171+D172</f>
        <v>73998.599999999991</v>
      </c>
      <c r="E170" s="119">
        <f t="shared" ref="E170:F170" si="52">E171+E172</f>
        <v>76167</v>
      </c>
      <c r="F170" s="119">
        <f t="shared" si="52"/>
        <v>76167</v>
      </c>
      <c r="L170" s="210"/>
      <c r="M170" s="210"/>
      <c r="N170" s="210"/>
    </row>
    <row r="171" spans="1:14" s="96" customFormat="1" ht="38.25" x14ac:dyDescent="0.2">
      <c r="A171" s="24" t="s">
        <v>225</v>
      </c>
      <c r="B171" s="75" t="s">
        <v>932</v>
      </c>
      <c r="C171" s="75" t="s">
        <v>66</v>
      </c>
      <c r="D171" s="119">
        <f>'ведомств. стр. 2025-2027'!G191</f>
        <v>1562.4</v>
      </c>
      <c r="E171" s="119">
        <f>'ведомств. стр. 2025-2027'!H191</f>
        <v>1562.4</v>
      </c>
      <c r="F171" s="119">
        <f>'ведомств. стр. 2025-2027'!I191</f>
        <v>1562.4</v>
      </c>
      <c r="L171" s="210"/>
      <c r="M171" s="210"/>
      <c r="N171" s="210"/>
    </row>
    <row r="172" spans="1:14" s="96" customFormat="1" ht="28.5" customHeight="1" x14ac:dyDescent="0.2">
      <c r="A172" s="24" t="s">
        <v>64</v>
      </c>
      <c r="B172" s="75" t="s">
        <v>932</v>
      </c>
      <c r="C172" s="75" t="s">
        <v>65</v>
      </c>
      <c r="D172" s="119">
        <f>'ведомств. стр. 2025-2027'!G192</f>
        <v>72436.2</v>
      </c>
      <c r="E172" s="119">
        <f>'ведомств. стр. 2025-2027'!H192</f>
        <v>74604.600000000006</v>
      </c>
      <c r="F172" s="119">
        <f>'ведомств. стр. 2025-2027'!I192</f>
        <v>74604.600000000006</v>
      </c>
      <c r="L172" s="210"/>
      <c r="M172" s="210"/>
      <c r="N172" s="210"/>
    </row>
    <row r="173" spans="1:14" s="96" customFormat="1" ht="13.5" x14ac:dyDescent="0.2">
      <c r="A173" s="112" t="s">
        <v>743</v>
      </c>
      <c r="B173" s="111" t="s">
        <v>110</v>
      </c>
      <c r="C173" s="111"/>
      <c r="D173" s="118">
        <f>D174+D197+D193+D200</f>
        <v>80379.199999999997</v>
      </c>
      <c r="E173" s="118">
        <f t="shared" ref="E173:F173" si="53">E174+E197+E193+E200</f>
        <v>85572.799999999988</v>
      </c>
      <c r="F173" s="118">
        <f t="shared" si="53"/>
        <v>89296.999999999985</v>
      </c>
      <c r="I173" s="209"/>
      <c r="J173" s="209"/>
      <c r="K173" s="209"/>
      <c r="L173" s="210"/>
      <c r="M173" s="210"/>
      <c r="N173" s="210"/>
    </row>
    <row r="174" spans="1:14" s="96" customFormat="1" ht="25.5" x14ac:dyDescent="0.2">
      <c r="A174" s="72" t="s">
        <v>744</v>
      </c>
      <c r="B174" s="73" t="s">
        <v>111</v>
      </c>
      <c r="C174" s="73"/>
      <c r="D174" s="116">
        <f>D175+D186+D188</f>
        <v>29121.599999999999</v>
      </c>
      <c r="E174" s="116">
        <f t="shared" ref="E174:F174" si="54">E175+E186+E188</f>
        <v>61802.5</v>
      </c>
      <c r="F174" s="116">
        <f t="shared" si="54"/>
        <v>64364.69999999999</v>
      </c>
      <c r="L174" s="210"/>
      <c r="M174" s="210"/>
      <c r="N174" s="210"/>
    </row>
    <row r="175" spans="1:14" s="96" customFormat="1" ht="25.5" x14ac:dyDescent="0.2">
      <c r="A175" s="24" t="s">
        <v>242</v>
      </c>
      <c r="B175" s="75" t="s">
        <v>261</v>
      </c>
      <c r="C175" s="75"/>
      <c r="D175" s="119">
        <f>D176+D178+D180+D184+D182</f>
        <v>23369</v>
      </c>
      <c r="E175" s="119">
        <f t="shared" ref="E175:F175" si="55">E176+E178+E180+E184+E182</f>
        <v>61605.5</v>
      </c>
      <c r="F175" s="119">
        <f t="shared" si="55"/>
        <v>64167.69999999999</v>
      </c>
      <c r="L175" s="210"/>
      <c r="M175" s="210"/>
      <c r="N175" s="210"/>
    </row>
    <row r="176" spans="1:14" s="96" customFormat="1" ht="38.25" x14ac:dyDescent="0.2">
      <c r="A176" s="24" t="s">
        <v>354</v>
      </c>
      <c r="B176" s="75" t="s">
        <v>368</v>
      </c>
      <c r="C176" s="75"/>
      <c r="D176" s="119">
        <f>D177</f>
        <v>18462.000000000004</v>
      </c>
      <c r="E176" s="119">
        <f>E177</f>
        <v>56616</v>
      </c>
      <c r="F176" s="119">
        <f>F177</f>
        <v>59090.899999999994</v>
      </c>
      <c r="L176" s="210"/>
      <c r="M176" s="210"/>
      <c r="N176" s="210"/>
    </row>
    <row r="177" spans="1:14" s="96" customFormat="1" ht="25.5" x14ac:dyDescent="0.2">
      <c r="A177" s="24" t="s">
        <v>64</v>
      </c>
      <c r="B177" s="75" t="s">
        <v>368</v>
      </c>
      <c r="C177" s="75" t="s">
        <v>65</v>
      </c>
      <c r="D177" s="119">
        <f>'ведомств. стр. 2025-2027'!G221</f>
        <v>18462.000000000004</v>
      </c>
      <c r="E177" s="119">
        <f>'ведомств. стр. 2025-2027'!H221</f>
        <v>56616</v>
      </c>
      <c r="F177" s="119">
        <f>'ведомств. стр. 2025-2027'!I221</f>
        <v>59090.899999999994</v>
      </c>
      <c r="L177" s="210"/>
      <c r="M177" s="210"/>
      <c r="N177" s="210"/>
    </row>
    <row r="178" spans="1:14" s="96" customFormat="1" ht="25.5" x14ac:dyDescent="0.2">
      <c r="A178" s="24" t="s">
        <v>361</v>
      </c>
      <c r="B178" s="75" t="s">
        <v>369</v>
      </c>
      <c r="C178" s="75"/>
      <c r="D178" s="119">
        <f>D179</f>
        <v>2112.6</v>
      </c>
      <c r="E178" s="119">
        <f>E179</f>
        <v>2159.4</v>
      </c>
      <c r="F178" s="119">
        <f>F179</f>
        <v>2246.6</v>
      </c>
      <c r="L178" s="210"/>
      <c r="M178" s="210"/>
      <c r="N178" s="210"/>
    </row>
    <row r="179" spans="1:14" s="96" customFormat="1" ht="25.5" x14ac:dyDescent="0.2">
      <c r="A179" s="24" t="s">
        <v>64</v>
      </c>
      <c r="B179" s="75" t="s">
        <v>369</v>
      </c>
      <c r="C179" s="75" t="s">
        <v>65</v>
      </c>
      <c r="D179" s="119">
        <f>'ведомств. стр. 2025-2027'!G223</f>
        <v>2112.6</v>
      </c>
      <c r="E179" s="119">
        <f>'ведомств. стр. 2025-2027'!H223</f>
        <v>2159.4</v>
      </c>
      <c r="F179" s="119">
        <f>'ведомств. стр. 2025-2027'!I223</f>
        <v>2246.6</v>
      </c>
      <c r="L179" s="210"/>
      <c r="M179" s="210"/>
      <c r="N179" s="210"/>
    </row>
    <row r="180" spans="1:14" s="96" customFormat="1" ht="25.5" x14ac:dyDescent="0.2">
      <c r="A180" s="24" t="s">
        <v>356</v>
      </c>
      <c r="B180" s="75" t="s">
        <v>370</v>
      </c>
      <c r="C180" s="75"/>
      <c r="D180" s="119">
        <f>D181</f>
        <v>306.10000000000002</v>
      </c>
      <c r="E180" s="119">
        <f>E181</f>
        <v>306.10000000000002</v>
      </c>
      <c r="F180" s="119">
        <f>F181</f>
        <v>306.10000000000002</v>
      </c>
      <c r="L180" s="210"/>
      <c r="M180" s="210"/>
      <c r="N180" s="210"/>
    </row>
    <row r="181" spans="1:14" s="96" customFormat="1" ht="28.5" customHeight="1" x14ac:dyDescent="0.2">
      <c r="A181" s="24" t="s">
        <v>64</v>
      </c>
      <c r="B181" s="75" t="s">
        <v>370</v>
      </c>
      <c r="C181" s="75" t="s">
        <v>65</v>
      </c>
      <c r="D181" s="119">
        <f>'ведомств. стр. 2025-2027'!G225</f>
        <v>306.10000000000002</v>
      </c>
      <c r="E181" s="119">
        <f>'ведомств. стр. 2025-2027'!H225</f>
        <v>306.10000000000002</v>
      </c>
      <c r="F181" s="119">
        <f>'ведомств. стр. 2025-2027'!I225</f>
        <v>306.10000000000002</v>
      </c>
      <c r="L181" s="210"/>
      <c r="M181" s="210"/>
      <c r="N181" s="210"/>
    </row>
    <row r="182" spans="1:14" s="96" customFormat="1" ht="28.5" customHeight="1" x14ac:dyDescent="0.2">
      <c r="A182" s="24" t="s">
        <v>698</v>
      </c>
      <c r="B182" s="75" t="s">
        <v>701</v>
      </c>
      <c r="C182" s="75"/>
      <c r="D182" s="119">
        <f>D183</f>
        <v>1533</v>
      </c>
      <c r="E182" s="119">
        <f t="shared" ref="E182:F182" si="56">E183</f>
        <v>1533</v>
      </c>
      <c r="F182" s="119">
        <f t="shared" si="56"/>
        <v>1533</v>
      </c>
      <c r="L182" s="210"/>
      <c r="M182" s="210"/>
      <c r="N182" s="210"/>
    </row>
    <row r="183" spans="1:14" s="96" customFormat="1" ht="28.5" customHeight="1" x14ac:dyDescent="0.2">
      <c r="A183" s="24" t="s">
        <v>64</v>
      </c>
      <c r="B183" s="75" t="s">
        <v>701</v>
      </c>
      <c r="C183" s="75" t="s">
        <v>65</v>
      </c>
      <c r="D183" s="119">
        <f>'ведомств. стр. 2025-2027'!G227</f>
        <v>1533</v>
      </c>
      <c r="E183" s="119">
        <f>'ведомств. стр. 2025-2027'!H227</f>
        <v>1533</v>
      </c>
      <c r="F183" s="119">
        <f>'ведомств. стр. 2025-2027'!I227</f>
        <v>1533</v>
      </c>
      <c r="L183" s="210"/>
      <c r="M183" s="210"/>
      <c r="N183" s="210"/>
    </row>
    <row r="184" spans="1:14" s="96" customFormat="1" ht="25.5" x14ac:dyDescent="0.2">
      <c r="A184" s="24" t="s">
        <v>357</v>
      </c>
      <c r="B184" s="75" t="s">
        <v>371</v>
      </c>
      <c r="C184" s="75"/>
      <c r="D184" s="119">
        <f>D185</f>
        <v>955.3</v>
      </c>
      <c r="E184" s="119">
        <f>E185</f>
        <v>991</v>
      </c>
      <c r="F184" s="119">
        <f>F185</f>
        <v>991.1</v>
      </c>
      <c r="L184" s="210"/>
      <c r="M184" s="210"/>
      <c r="N184" s="210"/>
    </row>
    <row r="185" spans="1:14" s="96" customFormat="1" ht="24.75" customHeight="1" x14ac:dyDescent="0.2">
      <c r="A185" s="24" t="s">
        <v>64</v>
      </c>
      <c r="B185" s="75" t="s">
        <v>371</v>
      </c>
      <c r="C185" s="75" t="s">
        <v>65</v>
      </c>
      <c r="D185" s="119">
        <f>'ведомств. стр. 2025-2027'!G229</f>
        <v>955.3</v>
      </c>
      <c r="E185" s="119">
        <f>'ведомств. стр. 2025-2027'!H229</f>
        <v>991</v>
      </c>
      <c r="F185" s="119">
        <f>'ведомств. стр. 2025-2027'!I229</f>
        <v>991.1</v>
      </c>
      <c r="L185" s="210"/>
      <c r="M185" s="210"/>
      <c r="N185" s="210"/>
    </row>
    <row r="186" spans="1:14" s="96" customFormat="1" ht="63.75" x14ac:dyDescent="0.2">
      <c r="A186" s="24" t="s">
        <v>348</v>
      </c>
      <c r="B186" s="75" t="s">
        <v>349</v>
      </c>
      <c r="C186" s="75"/>
      <c r="D186" s="119">
        <f>D187</f>
        <v>197</v>
      </c>
      <c r="E186" s="119">
        <f>E187</f>
        <v>197</v>
      </c>
      <c r="F186" s="119">
        <f>F187</f>
        <v>197</v>
      </c>
      <c r="L186" s="210"/>
      <c r="M186" s="210"/>
      <c r="N186" s="210"/>
    </row>
    <row r="187" spans="1:14" s="82" customFormat="1" ht="25.5" x14ac:dyDescent="0.25">
      <c r="A187" s="24" t="s">
        <v>64</v>
      </c>
      <c r="B187" s="75" t="s">
        <v>349</v>
      </c>
      <c r="C187" s="75" t="s">
        <v>65</v>
      </c>
      <c r="D187" s="119">
        <f>'ведомств. стр. 2025-2027'!G231</f>
        <v>197</v>
      </c>
      <c r="E187" s="119">
        <f>'ведомств. стр. 2025-2027'!H231</f>
        <v>197</v>
      </c>
      <c r="F187" s="119">
        <f>'ведомств. стр. 2025-2027'!I231</f>
        <v>197</v>
      </c>
      <c r="L187" s="212"/>
      <c r="M187" s="212"/>
      <c r="N187" s="212"/>
    </row>
    <row r="188" spans="1:14" s="82" customFormat="1" ht="25.5" x14ac:dyDescent="0.25">
      <c r="A188" s="24" t="s">
        <v>969</v>
      </c>
      <c r="B188" s="75" t="s">
        <v>973</v>
      </c>
      <c r="C188" s="75"/>
      <c r="D188" s="119">
        <f>D189+D191</f>
        <v>5555.6</v>
      </c>
      <c r="E188" s="119">
        <f t="shared" ref="E188:F188" si="57">E189+E191</f>
        <v>0</v>
      </c>
      <c r="F188" s="119">
        <f t="shared" si="57"/>
        <v>0</v>
      </c>
      <c r="L188" s="212"/>
      <c r="M188" s="212"/>
      <c r="N188" s="212"/>
    </row>
    <row r="189" spans="1:14" s="82" customFormat="1" ht="25.5" x14ac:dyDescent="0.25">
      <c r="A189" s="24" t="s">
        <v>974</v>
      </c>
      <c r="B189" s="75" t="s">
        <v>975</v>
      </c>
      <c r="C189" s="75"/>
      <c r="D189" s="119">
        <f>D190</f>
        <v>5000</v>
      </c>
      <c r="E189" s="119">
        <f t="shared" ref="E189:F189" si="58">E190</f>
        <v>0</v>
      </c>
      <c r="F189" s="119">
        <f t="shared" si="58"/>
        <v>0</v>
      </c>
      <c r="L189" s="212"/>
      <c r="M189" s="212"/>
      <c r="N189" s="212"/>
    </row>
    <row r="190" spans="1:14" s="82" customFormat="1" ht="25.5" x14ac:dyDescent="0.25">
      <c r="A190" s="24" t="s">
        <v>64</v>
      </c>
      <c r="B190" s="75" t="s">
        <v>975</v>
      </c>
      <c r="C190" s="75" t="s">
        <v>65</v>
      </c>
      <c r="D190" s="119">
        <f>'ведомств. стр. 2025-2027'!G234</f>
        <v>5000</v>
      </c>
      <c r="E190" s="119">
        <f>'ведомств. стр. 2025-2027'!H234</f>
        <v>0</v>
      </c>
      <c r="F190" s="119">
        <f>'ведомств. стр. 2025-2027'!I234</f>
        <v>0</v>
      </c>
      <c r="L190" s="212"/>
      <c r="M190" s="212"/>
      <c r="N190" s="212"/>
    </row>
    <row r="191" spans="1:14" s="82" customFormat="1" ht="25.5" x14ac:dyDescent="0.25">
      <c r="A191" s="24" t="s">
        <v>995</v>
      </c>
      <c r="B191" s="75" t="s">
        <v>996</v>
      </c>
      <c r="C191" s="75"/>
      <c r="D191" s="119">
        <f>D192</f>
        <v>555.6</v>
      </c>
      <c r="E191" s="119">
        <f t="shared" ref="E191:F191" si="59">E192</f>
        <v>0</v>
      </c>
      <c r="F191" s="119">
        <f t="shared" si="59"/>
        <v>0</v>
      </c>
      <c r="L191" s="212"/>
      <c r="M191" s="212"/>
      <c r="N191" s="212"/>
    </row>
    <row r="192" spans="1:14" s="82" customFormat="1" ht="25.5" x14ac:dyDescent="0.25">
      <c r="A192" s="24" t="s">
        <v>64</v>
      </c>
      <c r="B192" s="75" t="s">
        <v>996</v>
      </c>
      <c r="C192" s="75" t="s">
        <v>65</v>
      </c>
      <c r="D192" s="119">
        <f>'ведомств. стр. 2025-2027'!G236</f>
        <v>555.6</v>
      </c>
      <c r="E192" s="119">
        <f>'ведомств. стр. 2025-2027'!H236</f>
        <v>0</v>
      </c>
      <c r="F192" s="119">
        <f>'ведомств. стр. 2025-2027'!I236</f>
        <v>0</v>
      </c>
      <c r="L192" s="212"/>
      <c r="M192" s="212"/>
      <c r="N192" s="212"/>
    </row>
    <row r="193" spans="1:14" s="82" customFormat="1" ht="25.5" x14ac:dyDescent="0.25">
      <c r="A193" s="72" t="s">
        <v>857</v>
      </c>
      <c r="B193" s="73" t="s">
        <v>855</v>
      </c>
      <c r="C193" s="73"/>
      <c r="D193" s="116">
        <f>D194</f>
        <v>21982.6</v>
      </c>
      <c r="E193" s="116">
        <f t="shared" ref="E193:F193" si="60">E194</f>
        <v>23703.699999999997</v>
      </c>
      <c r="F193" s="116">
        <f t="shared" si="60"/>
        <v>24877.1</v>
      </c>
      <c r="L193" s="212"/>
      <c r="M193" s="212"/>
      <c r="N193" s="212"/>
    </row>
    <row r="194" spans="1:14" s="82" customFormat="1" ht="25.5" x14ac:dyDescent="0.25">
      <c r="A194" s="24" t="s">
        <v>858</v>
      </c>
      <c r="B194" s="75" t="s">
        <v>856</v>
      </c>
      <c r="C194" s="75"/>
      <c r="D194" s="119">
        <f>D195+D196</f>
        <v>21982.6</v>
      </c>
      <c r="E194" s="119">
        <f t="shared" ref="E194:F194" si="61">E195+E196</f>
        <v>23703.699999999997</v>
      </c>
      <c r="F194" s="119">
        <f t="shared" si="61"/>
        <v>24877.1</v>
      </c>
      <c r="L194" s="212"/>
      <c r="M194" s="212"/>
      <c r="N194" s="212"/>
    </row>
    <row r="195" spans="1:14" s="82" customFormat="1" ht="25.5" x14ac:dyDescent="0.25">
      <c r="A195" s="24" t="s">
        <v>64</v>
      </c>
      <c r="B195" s="75" t="s">
        <v>856</v>
      </c>
      <c r="C195" s="75" t="s">
        <v>65</v>
      </c>
      <c r="D195" s="119">
        <f>'ведомств. стр. 2025-2027'!G239</f>
        <v>21176</v>
      </c>
      <c r="E195" s="119">
        <f>'ведомств. стр. 2025-2027'!H239</f>
        <v>22849.899999999998</v>
      </c>
      <c r="F195" s="119">
        <f>'ведомств. стр. 2025-2027'!I239</f>
        <v>24000.6</v>
      </c>
      <c r="L195" s="212"/>
      <c r="M195" s="212"/>
      <c r="N195" s="212"/>
    </row>
    <row r="196" spans="1:14" s="82" customFormat="1" x14ac:dyDescent="0.25">
      <c r="A196" s="24" t="s">
        <v>95</v>
      </c>
      <c r="B196" s="75" t="s">
        <v>856</v>
      </c>
      <c r="C196" s="75" t="s">
        <v>62</v>
      </c>
      <c r="D196" s="119">
        <f>'ведомств. стр. 2025-2027'!G240</f>
        <v>806.6</v>
      </c>
      <c r="E196" s="119">
        <f>'ведомств. стр. 2025-2027'!H240</f>
        <v>853.8</v>
      </c>
      <c r="F196" s="119">
        <f>'ведомств. стр. 2025-2027'!I240</f>
        <v>876.5</v>
      </c>
      <c r="L196" s="212"/>
      <c r="M196" s="212"/>
      <c r="N196" s="212"/>
    </row>
    <row r="197" spans="1:14" s="82" customFormat="1" ht="25.5" x14ac:dyDescent="0.25">
      <c r="A197" s="72" t="s">
        <v>780</v>
      </c>
      <c r="B197" s="73" t="s">
        <v>702</v>
      </c>
      <c r="C197" s="73"/>
      <c r="D197" s="116">
        <f>D198</f>
        <v>306.5</v>
      </c>
      <c r="E197" s="116">
        <f t="shared" ref="E197:F198" si="62">E198</f>
        <v>66.599999999999994</v>
      </c>
      <c r="F197" s="116">
        <f t="shared" si="62"/>
        <v>55.2</v>
      </c>
      <c r="L197" s="212"/>
      <c r="M197" s="212"/>
      <c r="N197" s="212"/>
    </row>
    <row r="198" spans="1:14" s="82" customFormat="1" ht="25.5" x14ac:dyDescent="0.25">
      <c r="A198" s="24" t="s">
        <v>703</v>
      </c>
      <c r="B198" s="75" t="s">
        <v>704</v>
      </c>
      <c r="C198" s="75"/>
      <c r="D198" s="119">
        <f>D199</f>
        <v>306.5</v>
      </c>
      <c r="E198" s="119">
        <f t="shared" si="62"/>
        <v>66.599999999999994</v>
      </c>
      <c r="F198" s="119">
        <f t="shared" si="62"/>
        <v>55.2</v>
      </c>
      <c r="L198" s="212"/>
      <c r="M198" s="212"/>
      <c r="N198" s="212"/>
    </row>
    <row r="199" spans="1:14" s="82" customFormat="1" ht="25.5" x14ac:dyDescent="0.25">
      <c r="A199" s="24" t="s">
        <v>64</v>
      </c>
      <c r="B199" s="75" t="s">
        <v>704</v>
      </c>
      <c r="C199" s="75" t="s">
        <v>65</v>
      </c>
      <c r="D199" s="119">
        <f>'ведомств. стр. 2025-2027'!G243</f>
        <v>306.5</v>
      </c>
      <c r="E199" s="119">
        <f>'ведомств. стр. 2025-2027'!H243</f>
        <v>66.599999999999994</v>
      </c>
      <c r="F199" s="119">
        <f>'ведомств. стр. 2025-2027'!I243</f>
        <v>55.2</v>
      </c>
      <c r="L199" s="212"/>
      <c r="M199" s="212"/>
      <c r="N199" s="212"/>
    </row>
    <row r="200" spans="1:14" s="82" customFormat="1" ht="25.5" x14ac:dyDescent="0.25">
      <c r="A200" s="72" t="s">
        <v>1000</v>
      </c>
      <c r="B200" s="73" t="s">
        <v>999</v>
      </c>
      <c r="C200" s="73"/>
      <c r="D200" s="116">
        <f>D201</f>
        <v>28968.5</v>
      </c>
      <c r="E200" s="116">
        <f t="shared" ref="E200:F201" si="63">E201</f>
        <v>0</v>
      </c>
      <c r="F200" s="116">
        <f t="shared" si="63"/>
        <v>0</v>
      </c>
      <c r="L200" s="212"/>
      <c r="M200" s="212"/>
      <c r="N200" s="212"/>
    </row>
    <row r="201" spans="1:14" s="82" customFormat="1" ht="25.5" x14ac:dyDescent="0.25">
      <c r="A201" s="24" t="s">
        <v>1001</v>
      </c>
      <c r="B201" s="75" t="s">
        <v>1002</v>
      </c>
      <c r="C201" s="75"/>
      <c r="D201" s="119">
        <f>D202</f>
        <v>28968.5</v>
      </c>
      <c r="E201" s="119">
        <f t="shared" si="63"/>
        <v>0</v>
      </c>
      <c r="F201" s="119">
        <f t="shared" si="63"/>
        <v>0</v>
      </c>
      <c r="L201" s="212"/>
      <c r="M201" s="212"/>
      <c r="N201" s="212"/>
    </row>
    <row r="202" spans="1:14" s="82" customFormat="1" ht="25.5" x14ac:dyDescent="0.25">
      <c r="A202" s="24" t="s">
        <v>64</v>
      </c>
      <c r="B202" s="75" t="s">
        <v>1002</v>
      </c>
      <c r="C202" s="75" t="s">
        <v>65</v>
      </c>
      <c r="D202" s="119">
        <f>'ведомств. стр. 2025-2027'!G246</f>
        <v>28968.5</v>
      </c>
      <c r="E202" s="119">
        <f>'ведомств. стр. 2025-2027'!H246</f>
        <v>0</v>
      </c>
      <c r="F202" s="119">
        <f>'ведомств. стр. 2025-2027'!I246</f>
        <v>0</v>
      </c>
      <c r="L202" s="212"/>
      <c r="M202" s="212"/>
      <c r="N202" s="212"/>
    </row>
    <row r="203" spans="1:14" s="82" customFormat="1" ht="27" x14ac:dyDescent="0.25">
      <c r="A203" s="112" t="s">
        <v>754</v>
      </c>
      <c r="B203" s="111" t="s">
        <v>112</v>
      </c>
      <c r="C203" s="111"/>
      <c r="D203" s="118">
        <f>D204+D213+D221+D216+D224+D229+D241</f>
        <v>97690.6</v>
      </c>
      <c r="E203" s="118">
        <f t="shared" ref="E203:F203" si="64">E204+E213+E221+E216+E224+E229+E241</f>
        <v>100353.1</v>
      </c>
      <c r="F203" s="118">
        <f t="shared" si="64"/>
        <v>103936.30000000002</v>
      </c>
      <c r="H203" s="209"/>
      <c r="I203" s="209"/>
      <c r="J203" s="209"/>
      <c r="K203" s="212"/>
      <c r="L203" s="212"/>
      <c r="M203" s="212"/>
      <c r="N203" s="212"/>
    </row>
    <row r="204" spans="1:14" s="82" customFormat="1" x14ac:dyDescent="0.25">
      <c r="A204" s="146" t="s">
        <v>781</v>
      </c>
      <c r="B204" s="73" t="s">
        <v>113</v>
      </c>
      <c r="C204" s="73"/>
      <c r="D204" s="116">
        <f>D205+D209</f>
        <v>77922.600000000006</v>
      </c>
      <c r="E204" s="116">
        <f t="shared" ref="E204:F204" si="65">E205+E209</f>
        <v>80840.800000000003</v>
      </c>
      <c r="F204" s="116">
        <f t="shared" si="65"/>
        <v>83878.700000000012</v>
      </c>
      <c r="H204" s="212"/>
      <c r="I204" s="212"/>
      <c r="J204" s="212"/>
      <c r="K204" s="212"/>
      <c r="L204" s="212"/>
      <c r="M204" s="212"/>
      <c r="N204" s="212"/>
    </row>
    <row r="205" spans="1:14" s="82" customFormat="1" x14ac:dyDescent="0.25">
      <c r="A205" s="24" t="s">
        <v>138</v>
      </c>
      <c r="B205" s="75" t="s">
        <v>114</v>
      </c>
      <c r="C205" s="75"/>
      <c r="D205" s="119">
        <f>D206+D207+D208</f>
        <v>25219.7</v>
      </c>
      <c r="E205" s="119">
        <f t="shared" ref="E205:F205" si="66">E206+E207+E208</f>
        <v>26202.7</v>
      </c>
      <c r="F205" s="119">
        <f t="shared" si="66"/>
        <v>27225.200000000001</v>
      </c>
      <c r="L205" s="212"/>
      <c r="M205" s="212"/>
      <c r="N205" s="212"/>
    </row>
    <row r="206" spans="1:14" s="82" customFormat="1" ht="38.25" x14ac:dyDescent="0.25">
      <c r="A206" s="24" t="s">
        <v>225</v>
      </c>
      <c r="B206" s="75" t="s">
        <v>114</v>
      </c>
      <c r="C206" s="75" t="s">
        <v>66</v>
      </c>
      <c r="D206" s="119">
        <f>'ведомств. стр. 2025-2027'!G265</f>
        <v>24487</v>
      </c>
      <c r="E206" s="119">
        <f>'ведомств. стр. 2025-2027'!H265</f>
        <v>25565.3</v>
      </c>
      <c r="F206" s="119">
        <f>'ведомств. стр. 2025-2027'!I265</f>
        <v>26587.8</v>
      </c>
      <c r="L206" s="212"/>
      <c r="M206" s="212"/>
      <c r="N206" s="212"/>
    </row>
    <row r="207" spans="1:14" s="82" customFormat="1" ht="25.5" x14ac:dyDescent="0.25">
      <c r="A207" s="24" t="s">
        <v>226</v>
      </c>
      <c r="B207" s="75" t="s">
        <v>114</v>
      </c>
      <c r="C207" s="75" t="s">
        <v>59</v>
      </c>
      <c r="D207" s="119">
        <f>'ведомств. стр. 2025-2027'!G266</f>
        <v>637.4</v>
      </c>
      <c r="E207" s="119">
        <f>'ведомств. стр. 2025-2027'!H266</f>
        <v>637.4</v>
      </c>
      <c r="F207" s="119">
        <f>'ведомств. стр. 2025-2027'!I266</f>
        <v>637.4</v>
      </c>
      <c r="L207" s="212"/>
      <c r="M207" s="212"/>
      <c r="N207" s="212"/>
    </row>
    <row r="208" spans="1:14" s="82" customFormat="1" x14ac:dyDescent="0.25">
      <c r="A208" s="24" t="s">
        <v>85</v>
      </c>
      <c r="B208" s="75" t="s">
        <v>114</v>
      </c>
      <c r="C208" s="75" t="s">
        <v>86</v>
      </c>
      <c r="D208" s="119">
        <f>'ведомств. стр. 2025-2027'!G267</f>
        <v>95.3</v>
      </c>
      <c r="E208" s="119">
        <f>'ведомств. стр. 2025-2027'!H267</f>
        <v>0</v>
      </c>
      <c r="F208" s="119">
        <f>'ведомств. стр. 2025-2027'!I267</f>
        <v>0</v>
      </c>
      <c r="L208" s="212"/>
      <c r="M208" s="212"/>
      <c r="N208" s="212"/>
    </row>
    <row r="209" spans="1:14" s="82" customFormat="1" ht="25.5" x14ac:dyDescent="0.25">
      <c r="A209" s="24" t="s">
        <v>239</v>
      </c>
      <c r="B209" s="75" t="s">
        <v>250</v>
      </c>
      <c r="C209" s="75"/>
      <c r="D209" s="119">
        <f>D210+D211+D212</f>
        <v>52702.9</v>
      </c>
      <c r="E209" s="119">
        <f>E210+E211+E212</f>
        <v>54638.100000000006</v>
      </c>
      <c r="F209" s="119">
        <f>F210+F211+F212</f>
        <v>56653.500000000007</v>
      </c>
      <c r="L209" s="212"/>
      <c r="M209" s="212"/>
      <c r="N209" s="212"/>
    </row>
    <row r="210" spans="1:14" s="82" customFormat="1" ht="38.25" x14ac:dyDescent="0.25">
      <c r="A210" s="24" t="s">
        <v>225</v>
      </c>
      <c r="B210" s="75" t="s">
        <v>250</v>
      </c>
      <c r="C210" s="75" t="s">
        <v>66</v>
      </c>
      <c r="D210" s="119">
        <f>'ведомств. стр. 2025-2027'!G269</f>
        <v>47571.4</v>
      </c>
      <c r="E210" s="119">
        <f>'ведомств. стр. 2025-2027'!H269</f>
        <v>49473.8</v>
      </c>
      <c r="F210" s="119">
        <f>'ведомств. стр. 2025-2027'!I269</f>
        <v>51451.9</v>
      </c>
      <c r="L210" s="212"/>
      <c r="M210" s="212"/>
      <c r="N210" s="212"/>
    </row>
    <row r="211" spans="1:14" s="82" customFormat="1" ht="25.5" x14ac:dyDescent="0.25">
      <c r="A211" s="24" t="s">
        <v>226</v>
      </c>
      <c r="B211" s="75" t="s">
        <v>250</v>
      </c>
      <c r="C211" s="75" t="s">
        <v>59</v>
      </c>
      <c r="D211" s="119">
        <f>'ведомств. стр. 2025-2027'!G270</f>
        <v>5123.2</v>
      </c>
      <c r="E211" s="119">
        <f>'ведомств. стр. 2025-2027'!H270</f>
        <v>5156</v>
      </c>
      <c r="F211" s="119">
        <f>'ведомств. стр. 2025-2027'!I270</f>
        <v>5193.3</v>
      </c>
      <c r="L211" s="212"/>
      <c r="M211" s="212"/>
      <c r="N211" s="212"/>
    </row>
    <row r="212" spans="1:14" s="82" customFormat="1" x14ac:dyDescent="0.25">
      <c r="A212" s="24" t="s">
        <v>61</v>
      </c>
      <c r="B212" s="75" t="s">
        <v>250</v>
      </c>
      <c r="C212" s="75" t="s">
        <v>62</v>
      </c>
      <c r="D212" s="119">
        <f>'ведомств. стр. 2025-2027'!G271</f>
        <v>8.3000000000000007</v>
      </c>
      <c r="E212" s="119">
        <f>'ведомств. стр. 2025-2027'!H271</f>
        <v>8.3000000000000007</v>
      </c>
      <c r="F212" s="119">
        <f>'ведомств. стр. 2025-2027'!I271</f>
        <v>8.3000000000000007</v>
      </c>
      <c r="L212" s="212"/>
      <c r="M212" s="212"/>
      <c r="N212" s="212"/>
    </row>
    <row r="213" spans="1:14" s="82" customFormat="1" ht="25.5" x14ac:dyDescent="0.25">
      <c r="A213" s="146" t="s">
        <v>782</v>
      </c>
      <c r="B213" s="73" t="s">
        <v>115</v>
      </c>
      <c r="C213" s="73"/>
      <c r="D213" s="116">
        <f>D214</f>
        <v>35.9</v>
      </c>
      <c r="E213" s="116">
        <f t="shared" ref="E213:F213" si="67">E214</f>
        <v>35.9</v>
      </c>
      <c r="F213" s="116">
        <f t="shared" si="67"/>
        <v>35.9</v>
      </c>
      <c r="L213" s="212"/>
      <c r="M213" s="212"/>
      <c r="N213" s="212"/>
    </row>
    <row r="214" spans="1:14" s="82" customFormat="1" ht="25.5" x14ac:dyDescent="0.25">
      <c r="A214" s="23" t="s">
        <v>89</v>
      </c>
      <c r="B214" s="75" t="s">
        <v>253</v>
      </c>
      <c r="C214" s="75"/>
      <c r="D214" s="119">
        <f>D215</f>
        <v>35.9</v>
      </c>
      <c r="E214" s="119">
        <f>E215</f>
        <v>35.9</v>
      </c>
      <c r="F214" s="119">
        <f>F215</f>
        <v>35.9</v>
      </c>
      <c r="L214" s="212"/>
      <c r="M214" s="212"/>
      <c r="N214" s="212"/>
    </row>
    <row r="215" spans="1:14" s="82" customFormat="1" ht="25.5" x14ac:dyDescent="0.25">
      <c r="A215" s="24" t="s">
        <v>226</v>
      </c>
      <c r="B215" s="75" t="s">
        <v>253</v>
      </c>
      <c r="C215" s="75" t="s">
        <v>59</v>
      </c>
      <c r="D215" s="119">
        <f>'ведомств. стр. 2025-2027'!G274</f>
        <v>35.9</v>
      </c>
      <c r="E215" s="119">
        <f>'ведомств. стр. 2025-2027'!H274</f>
        <v>35.9</v>
      </c>
      <c r="F215" s="119">
        <f>'ведомств. стр. 2025-2027'!I274</f>
        <v>35.9</v>
      </c>
      <c r="L215" s="212"/>
      <c r="M215" s="212"/>
      <c r="N215" s="212"/>
    </row>
    <row r="216" spans="1:14" s="82" customFormat="1" ht="15.75" customHeight="1" x14ac:dyDescent="0.25">
      <c r="A216" s="72" t="s">
        <v>783</v>
      </c>
      <c r="B216" s="73" t="s">
        <v>116</v>
      </c>
      <c r="C216" s="73"/>
      <c r="D216" s="116">
        <f>D217+D219</f>
        <v>823.5</v>
      </c>
      <c r="E216" s="116">
        <f>E217+E219</f>
        <v>823.5</v>
      </c>
      <c r="F216" s="116">
        <f>F217+F219</f>
        <v>823.5</v>
      </c>
      <c r="L216" s="212"/>
      <c r="M216" s="212"/>
      <c r="N216" s="212"/>
    </row>
    <row r="217" spans="1:14" s="82" customFormat="1" ht="25.5" x14ac:dyDescent="0.25">
      <c r="A217" s="24" t="s">
        <v>323</v>
      </c>
      <c r="B217" s="75" t="s">
        <v>254</v>
      </c>
      <c r="C217" s="75"/>
      <c r="D217" s="119">
        <f>D218</f>
        <v>57.5</v>
      </c>
      <c r="E217" s="119">
        <f>E218</f>
        <v>57.5</v>
      </c>
      <c r="F217" s="119">
        <f>F218</f>
        <v>57.5</v>
      </c>
      <c r="L217" s="212"/>
      <c r="M217" s="212"/>
      <c r="N217" s="212"/>
    </row>
    <row r="218" spans="1:14" s="82" customFormat="1" x14ac:dyDescent="0.25">
      <c r="A218" s="24" t="s">
        <v>85</v>
      </c>
      <c r="B218" s="75" t="s">
        <v>254</v>
      </c>
      <c r="C218" s="75" t="s">
        <v>86</v>
      </c>
      <c r="D218" s="119">
        <f>'ведомств. стр. 2025-2027'!G277</f>
        <v>57.5</v>
      </c>
      <c r="E218" s="119">
        <f>'ведомств. стр. 2025-2027'!H277</f>
        <v>57.5</v>
      </c>
      <c r="F218" s="119">
        <f>'ведомств. стр. 2025-2027'!I277</f>
        <v>57.5</v>
      </c>
      <c r="L218" s="212"/>
      <c r="M218" s="212"/>
      <c r="N218" s="212"/>
    </row>
    <row r="219" spans="1:14" s="82" customFormat="1" x14ac:dyDescent="0.25">
      <c r="A219" s="24" t="s">
        <v>87</v>
      </c>
      <c r="B219" s="75" t="s">
        <v>255</v>
      </c>
      <c r="C219" s="75"/>
      <c r="D219" s="119">
        <f>D220</f>
        <v>766</v>
      </c>
      <c r="E219" s="119">
        <f>E220</f>
        <v>766</v>
      </c>
      <c r="F219" s="119">
        <f>F220</f>
        <v>766</v>
      </c>
      <c r="L219" s="212"/>
      <c r="M219" s="212"/>
      <c r="N219" s="212"/>
    </row>
    <row r="220" spans="1:14" s="82" customFormat="1" ht="25.5" x14ac:dyDescent="0.25">
      <c r="A220" s="24" t="s">
        <v>226</v>
      </c>
      <c r="B220" s="75" t="s">
        <v>255</v>
      </c>
      <c r="C220" s="75" t="s">
        <v>59</v>
      </c>
      <c r="D220" s="119">
        <f>'ведомств. стр. 2025-2027'!G279</f>
        <v>766</v>
      </c>
      <c r="E220" s="119">
        <f>'ведомств. стр. 2025-2027'!H279</f>
        <v>766</v>
      </c>
      <c r="F220" s="119">
        <f>'ведомств. стр. 2025-2027'!I279</f>
        <v>766</v>
      </c>
      <c r="L220" s="212"/>
      <c r="M220" s="212"/>
      <c r="N220" s="212"/>
    </row>
    <row r="221" spans="1:14" s="82" customFormat="1" ht="25.5" customHeight="1" x14ac:dyDescent="0.25">
      <c r="A221" s="72" t="s">
        <v>784</v>
      </c>
      <c r="B221" s="73" t="s">
        <v>117</v>
      </c>
      <c r="C221" s="73"/>
      <c r="D221" s="116">
        <f t="shared" ref="D221:F222" si="68">D222</f>
        <v>507.5</v>
      </c>
      <c r="E221" s="116">
        <f t="shared" si="68"/>
        <v>507.5</v>
      </c>
      <c r="F221" s="116">
        <f t="shared" si="68"/>
        <v>507.5</v>
      </c>
      <c r="L221" s="212"/>
      <c r="M221" s="212"/>
      <c r="N221" s="212"/>
    </row>
    <row r="222" spans="1:14" s="82" customFormat="1" x14ac:dyDescent="0.25">
      <c r="A222" s="24" t="s">
        <v>88</v>
      </c>
      <c r="B222" s="75" t="s">
        <v>256</v>
      </c>
      <c r="C222" s="75"/>
      <c r="D222" s="119">
        <f t="shared" si="68"/>
        <v>507.5</v>
      </c>
      <c r="E222" s="119">
        <f t="shared" si="68"/>
        <v>507.5</v>
      </c>
      <c r="F222" s="119">
        <f t="shared" si="68"/>
        <v>507.5</v>
      </c>
      <c r="L222" s="212"/>
      <c r="M222" s="212"/>
      <c r="N222" s="212"/>
    </row>
    <row r="223" spans="1:14" s="82" customFormat="1" ht="25.5" x14ac:dyDescent="0.25">
      <c r="A223" s="24" t="s">
        <v>226</v>
      </c>
      <c r="B223" s="75" t="s">
        <v>256</v>
      </c>
      <c r="C223" s="75" t="s">
        <v>59</v>
      </c>
      <c r="D223" s="119">
        <f>'ведомств. стр. 2025-2027'!G282</f>
        <v>507.5</v>
      </c>
      <c r="E223" s="119">
        <f>'ведомств. стр. 2025-2027'!H282</f>
        <v>507.5</v>
      </c>
      <c r="F223" s="119">
        <f>'ведомств. стр. 2025-2027'!I282</f>
        <v>507.5</v>
      </c>
      <c r="L223" s="212"/>
      <c r="M223" s="212"/>
      <c r="N223" s="212"/>
    </row>
    <row r="224" spans="1:14" s="82" customFormat="1" ht="15.75" customHeight="1" x14ac:dyDescent="0.25">
      <c r="A224" s="72" t="s">
        <v>785</v>
      </c>
      <c r="B224" s="73" t="s">
        <v>118</v>
      </c>
      <c r="C224" s="73"/>
      <c r="D224" s="116">
        <f>D225+D227</f>
        <v>121.1</v>
      </c>
      <c r="E224" s="116">
        <f t="shared" ref="E224:F224" si="69">E225+E227</f>
        <v>121.1</v>
      </c>
      <c r="F224" s="116">
        <f t="shared" si="69"/>
        <v>121.1</v>
      </c>
      <c r="L224" s="212"/>
      <c r="M224" s="212"/>
      <c r="N224" s="212"/>
    </row>
    <row r="225" spans="1:14" s="82" customFormat="1" x14ac:dyDescent="0.25">
      <c r="A225" s="24" t="s">
        <v>330</v>
      </c>
      <c r="B225" s="75" t="s">
        <v>257</v>
      </c>
      <c r="C225" s="75"/>
      <c r="D225" s="119">
        <f>D226</f>
        <v>50</v>
      </c>
      <c r="E225" s="119">
        <f>E226</f>
        <v>50</v>
      </c>
      <c r="F225" s="119">
        <f>F226</f>
        <v>50</v>
      </c>
      <c r="L225" s="212"/>
      <c r="M225" s="212"/>
      <c r="N225" s="212"/>
    </row>
    <row r="226" spans="1:14" s="82" customFormat="1" ht="25.5" x14ac:dyDescent="0.25">
      <c r="A226" s="24" t="s">
        <v>226</v>
      </c>
      <c r="B226" s="75" t="s">
        <v>257</v>
      </c>
      <c r="C226" s="75" t="s">
        <v>59</v>
      </c>
      <c r="D226" s="119">
        <f>'ведомств. стр. 2025-2027'!G285</f>
        <v>50</v>
      </c>
      <c r="E226" s="119">
        <f>'ведомств. стр. 2025-2027'!H285</f>
        <v>50</v>
      </c>
      <c r="F226" s="119">
        <f>'ведомств. стр. 2025-2027'!I285</f>
        <v>50</v>
      </c>
      <c r="L226" s="212"/>
      <c r="M226" s="212"/>
      <c r="N226" s="212"/>
    </row>
    <row r="227" spans="1:14" s="82" customFormat="1" x14ac:dyDescent="0.25">
      <c r="A227" s="24" t="s">
        <v>90</v>
      </c>
      <c r="B227" s="75" t="s">
        <v>258</v>
      </c>
      <c r="C227" s="75"/>
      <c r="D227" s="119">
        <f>D228</f>
        <v>71.099999999999994</v>
      </c>
      <c r="E227" s="119">
        <f>E228</f>
        <v>71.099999999999994</v>
      </c>
      <c r="F227" s="119">
        <f>F228</f>
        <v>71.099999999999994</v>
      </c>
      <c r="L227" s="212"/>
      <c r="M227" s="212"/>
      <c r="N227" s="212"/>
    </row>
    <row r="228" spans="1:14" s="82" customFormat="1" ht="25.5" x14ac:dyDescent="0.25">
      <c r="A228" s="24" t="s">
        <v>226</v>
      </c>
      <c r="B228" s="75" t="s">
        <v>258</v>
      </c>
      <c r="C228" s="75" t="s">
        <v>59</v>
      </c>
      <c r="D228" s="119">
        <f>'ведомств. стр. 2025-2027'!G287</f>
        <v>71.099999999999994</v>
      </c>
      <c r="E228" s="119">
        <f>'ведомств. стр. 2025-2027'!H287</f>
        <v>71.099999999999994</v>
      </c>
      <c r="F228" s="119">
        <f>'ведомств. стр. 2025-2027'!I287</f>
        <v>71.099999999999994</v>
      </c>
      <c r="L228" s="212"/>
      <c r="M228" s="212"/>
      <c r="N228" s="212"/>
    </row>
    <row r="229" spans="1:14" s="82" customFormat="1" ht="25.5" x14ac:dyDescent="0.25">
      <c r="A229" s="72" t="s">
        <v>786</v>
      </c>
      <c r="B229" s="73" t="s">
        <v>680</v>
      </c>
      <c r="C229" s="73"/>
      <c r="D229" s="116">
        <f>D230</f>
        <v>15280</v>
      </c>
      <c r="E229" s="116">
        <f t="shared" ref="E229:F229" si="70">E230</f>
        <v>15804.300000000001</v>
      </c>
      <c r="F229" s="116">
        <f t="shared" si="70"/>
        <v>16349.6</v>
      </c>
      <c r="L229" s="212"/>
      <c r="M229" s="212"/>
      <c r="N229" s="212"/>
    </row>
    <row r="230" spans="1:14" s="82" customFormat="1" ht="25.5" x14ac:dyDescent="0.25">
      <c r="A230" s="24" t="s">
        <v>242</v>
      </c>
      <c r="B230" s="75" t="s">
        <v>682</v>
      </c>
      <c r="C230" s="75"/>
      <c r="D230" s="119">
        <f>D231+D233+D235+D237+D239</f>
        <v>15280</v>
      </c>
      <c r="E230" s="119">
        <f t="shared" ref="E230:F230" si="71">E231+E233+E235+E237+E239</f>
        <v>15804.300000000001</v>
      </c>
      <c r="F230" s="119">
        <f t="shared" si="71"/>
        <v>16349.6</v>
      </c>
      <c r="L230" s="212"/>
      <c r="M230" s="212"/>
      <c r="N230" s="212"/>
    </row>
    <row r="231" spans="1:14" s="82" customFormat="1" ht="38.25" x14ac:dyDescent="0.25">
      <c r="A231" s="24" t="s">
        <v>354</v>
      </c>
      <c r="B231" s="75" t="s">
        <v>681</v>
      </c>
      <c r="C231" s="75"/>
      <c r="D231" s="119">
        <f>D232</f>
        <v>12603</v>
      </c>
      <c r="E231" s="119">
        <f t="shared" ref="E231:F231" si="72">E232</f>
        <v>13107.2</v>
      </c>
      <c r="F231" s="119">
        <f t="shared" si="72"/>
        <v>13631.5</v>
      </c>
      <c r="L231" s="212"/>
      <c r="M231" s="212"/>
      <c r="N231" s="212"/>
    </row>
    <row r="232" spans="1:14" s="82" customFormat="1" ht="25.5" x14ac:dyDescent="0.25">
      <c r="A232" s="24" t="s">
        <v>64</v>
      </c>
      <c r="B232" s="75" t="s">
        <v>681</v>
      </c>
      <c r="C232" s="75" t="s">
        <v>65</v>
      </c>
      <c r="D232" s="119">
        <f>'ведомств. стр. 2025-2027'!G291</f>
        <v>12603</v>
      </c>
      <c r="E232" s="119">
        <f>'ведомств. стр. 2025-2027'!H291</f>
        <v>13107.2</v>
      </c>
      <c r="F232" s="119">
        <f>'ведомств. стр. 2025-2027'!I291</f>
        <v>13631.5</v>
      </c>
      <c r="L232" s="212"/>
      <c r="M232" s="212"/>
      <c r="N232" s="212"/>
    </row>
    <row r="233" spans="1:14" s="82" customFormat="1" ht="25.5" x14ac:dyDescent="0.25">
      <c r="A233" s="24" t="s">
        <v>361</v>
      </c>
      <c r="B233" s="75" t="s">
        <v>683</v>
      </c>
      <c r="C233" s="75"/>
      <c r="D233" s="119">
        <f>D234</f>
        <v>513.29999999999995</v>
      </c>
      <c r="E233" s="119">
        <f t="shared" ref="E233:F233" si="73">E234</f>
        <v>520.6</v>
      </c>
      <c r="F233" s="119">
        <f t="shared" si="73"/>
        <v>541.6</v>
      </c>
      <c r="L233" s="212"/>
      <c r="M233" s="212"/>
      <c r="N233" s="212"/>
    </row>
    <row r="234" spans="1:14" s="82" customFormat="1" ht="25.5" x14ac:dyDescent="0.25">
      <c r="A234" s="24" t="s">
        <v>64</v>
      </c>
      <c r="B234" s="75" t="s">
        <v>683</v>
      </c>
      <c r="C234" s="75" t="s">
        <v>65</v>
      </c>
      <c r="D234" s="119">
        <f>'ведомств. стр. 2025-2027'!G293</f>
        <v>513.29999999999995</v>
      </c>
      <c r="E234" s="119">
        <f>'ведомств. стр. 2025-2027'!H293</f>
        <v>520.6</v>
      </c>
      <c r="F234" s="119">
        <f>'ведомств. стр. 2025-2027'!I293</f>
        <v>541.6</v>
      </c>
      <c r="L234" s="212"/>
      <c r="M234" s="212"/>
      <c r="N234" s="212"/>
    </row>
    <row r="235" spans="1:14" s="82" customFormat="1" ht="25.5" x14ac:dyDescent="0.25">
      <c r="A235" s="24" t="s">
        <v>356</v>
      </c>
      <c r="B235" s="75" t="s">
        <v>684</v>
      </c>
      <c r="C235" s="75"/>
      <c r="D235" s="119">
        <f>D236</f>
        <v>1.2</v>
      </c>
      <c r="E235" s="119">
        <f t="shared" ref="E235:F235" si="74">E236</f>
        <v>1.2</v>
      </c>
      <c r="F235" s="119">
        <f t="shared" si="74"/>
        <v>1.2</v>
      </c>
      <c r="L235" s="212"/>
      <c r="M235" s="212"/>
      <c r="N235" s="212"/>
    </row>
    <row r="236" spans="1:14" s="82" customFormat="1" ht="25.5" x14ac:dyDescent="0.25">
      <c r="A236" s="24" t="s">
        <v>64</v>
      </c>
      <c r="B236" s="75" t="s">
        <v>684</v>
      </c>
      <c r="C236" s="75" t="s">
        <v>65</v>
      </c>
      <c r="D236" s="119">
        <f>'ведомств. стр. 2025-2027'!G295</f>
        <v>1.2</v>
      </c>
      <c r="E236" s="119">
        <f>'ведомств. стр. 2025-2027'!H295</f>
        <v>1.2</v>
      </c>
      <c r="F236" s="119">
        <f>'ведомств. стр. 2025-2027'!I295</f>
        <v>1.2</v>
      </c>
      <c r="L236" s="212"/>
      <c r="M236" s="212"/>
      <c r="N236" s="212"/>
    </row>
    <row r="237" spans="1:14" s="82" customFormat="1" ht="25.5" x14ac:dyDescent="0.25">
      <c r="A237" s="24" t="s">
        <v>698</v>
      </c>
      <c r="B237" s="75" t="s">
        <v>705</v>
      </c>
      <c r="C237" s="75"/>
      <c r="D237" s="119">
        <f>D238</f>
        <v>1704.9</v>
      </c>
      <c r="E237" s="119">
        <f t="shared" ref="E237:F237" si="75">E238</f>
        <v>1533</v>
      </c>
      <c r="F237" s="119">
        <f t="shared" si="75"/>
        <v>1533</v>
      </c>
      <c r="L237" s="212"/>
      <c r="M237" s="212"/>
      <c r="N237" s="212"/>
    </row>
    <row r="238" spans="1:14" s="82" customFormat="1" ht="25.5" x14ac:dyDescent="0.25">
      <c r="A238" s="24" t="s">
        <v>64</v>
      </c>
      <c r="B238" s="75" t="s">
        <v>705</v>
      </c>
      <c r="C238" s="75" t="s">
        <v>65</v>
      </c>
      <c r="D238" s="119">
        <f>'ведомств. стр. 2025-2027'!G297</f>
        <v>1704.9</v>
      </c>
      <c r="E238" s="119">
        <f>'ведомств. стр. 2025-2027'!H297</f>
        <v>1533</v>
      </c>
      <c r="F238" s="119">
        <f>'ведомств. стр. 2025-2027'!I297</f>
        <v>1533</v>
      </c>
      <c r="L238" s="212"/>
      <c r="M238" s="212"/>
      <c r="N238" s="212"/>
    </row>
    <row r="239" spans="1:14" s="82" customFormat="1" ht="25.5" x14ac:dyDescent="0.25">
      <c r="A239" s="24" t="s">
        <v>357</v>
      </c>
      <c r="B239" s="75" t="s">
        <v>685</v>
      </c>
      <c r="C239" s="75"/>
      <c r="D239" s="119">
        <f>D240</f>
        <v>457.6</v>
      </c>
      <c r="E239" s="119">
        <f t="shared" ref="E239:F239" si="76">E240</f>
        <v>642.29999999999995</v>
      </c>
      <c r="F239" s="119">
        <f t="shared" si="76"/>
        <v>642.29999999999995</v>
      </c>
      <c r="L239" s="212"/>
      <c r="M239" s="212"/>
      <c r="N239" s="212"/>
    </row>
    <row r="240" spans="1:14" s="82" customFormat="1" ht="25.5" x14ac:dyDescent="0.25">
      <c r="A240" s="24" t="s">
        <v>64</v>
      </c>
      <c r="B240" s="75" t="s">
        <v>685</v>
      </c>
      <c r="C240" s="75" t="s">
        <v>65</v>
      </c>
      <c r="D240" s="119">
        <f>'ведомств. стр. 2025-2027'!G299</f>
        <v>457.6</v>
      </c>
      <c r="E240" s="119">
        <f>'ведомств. стр. 2025-2027'!H299</f>
        <v>642.29999999999995</v>
      </c>
      <c r="F240" s="119">
        <f>'ведомств. стр. 2025-2027'!I299</f>
        <v>642.29999999999995</v>
      </c>
      <c r="L240" s="212"/>
      <c r="M240" s="212"/>
      <c r="N240" s="212"/>
    </row>
    <row r="241" spans="1:14" s="82" customFormat="1" ht="25.5" x14ac:dyDescent="0.25">
      <c r="A241" s="72" t="s">
        <v>949</v>
      </c>
      <c r="B241" s="73" t="s">
        <v>948</v>
      </c>
      <c r="C241" s="73"/>
      <c r="D241" s="116">
        <f>D242</f>
        <v>3000</v>
      </c>
      <c r="E241" s="116">
        <f t="shared" ref="E241:F242" si="77">E242</f>
        <v>2220</v>
      </c>
      <c r="F241" s="116">
        <f t="shared" si="77"/>
        <v>2220</v>
      </c>
      <c r="L241" s="212"/>
      <c r="M241" s="212"/>
      <c r="N241" s="212"/>
    </row>
    <row r="242" spans="1:14" s="82" customFormat="1" ht="38.25" x14ac:dyDescent="0.25">
      <c r="A242" s="24" t="s">
        <v>947</v>
      </c>
      <c r="B242" s="75" t="s">
        <v>950</v>
      </c>
      <c r="C242" s="75"/>
      <c r="D242" s="119">
        <f>D243</f>
        <v>3000</v>
      </c>
      <c r="E242" s="119">
        <f t="shared" si="77"/>
        <v>2220</v>
      </c>
      <c r="F242" s="119">
        <f t="shared" si="77"/>
        <v>2220</v>
      </c>
      <c r="L242" s="212"/>
      <c r="M242" s="212"/>
      <c r="N242" s="212"/>
    </row>
    <row r="243" spans="1:14" s="82" customFormat="1" ht="25.5" x14ac:dyDescent="0.25">
      <c r="A243" s="24" t="s">
        <v>64</v>
      </c>
      <c r="B243" s="75" t="s">
        <v>950</v>
      </c>
      <c r="C243" s="75" t="s">
        <v>65</v>
      </c>
      <c r="D243" s="119">
        <f>'ведомств. стр. 2025-2027'!G302</f>
        <v>3000</v>
      </c>
      <c r="E243" s="119">
        <f>'ведомств. стр. 2025-2027'!H302</f>
        <v>2220</v>
      </c>
      <c r="F243" s="119">
        <f>'ведомств. стр. 2025-2027'!I302</f>
        <v>2220</v>
      </c>
      <c r="L243" s="212"/>
      <c r="M243" s="212"/>
      <c r="N243" s="212"/>
    </row>
    <row r="244" spans="1:14" s="82" customFormat="1" ht="27" x14ac:dyDescent="0.25">
      <c r="A244" s="112" t="s">
        <v>841</v>
      </c>
      <c r="B244" s="111" t="s">
        <v>672</v>
      </c>
      <c r="C244" s="111"/>
      <c r="D244" s="118">
        <f>D245+D249</f>
        <v>63391.299999999988</v>
      </c>
      <c r="E244" s="118">
        <f t="shared" ref="E244:F244" si="78">E245+E249</f>
        <v>6637.1</v>
      </c>
      <c r="F244" s="118">
        <f t="shared" si="78"/>
        <v>3937.4</v>
      </c>
      <c r="L244" s="212"/>
      <c r="M244" s="212"/>
      <c r="N244" s="212"/>
    </row>
    <row r="245" spans="1:14" s="82" customFormat="1" ht="25.5" x14ac:dyDescent="0.25">
      <c r="A245" s="72" t="s">
        <v>742</v>
      </c>
      <c r="B245" s="73" t="s">
        <v>673</v>
      </c>
      <c r="C245" s="75"/>
      <c r="D245" s="116">
        <f>D246</f>
        <v>51263.69999999999</v>
      </c>
      <c r="E245" s="116">
        <f t="shared" ref="E245:F245" si="79">E246</f>
        <v>0</v>
      </c>
      <c r="F245" s="116">
        <f t="shared" si="79"/>
        <v>0</v>
      </c>
      <c r="L245" s="212"/>
      <c r="M245" s="212"/>
      <c r="N245" s="212"/>
    </row>
    <row r="246" spans="1:14" s="82" customFormat="1" x14ac:dyDescent="0.25">
      <c r="A246" s="24" t="s">
        <v>674</v>
      </c>
      <c r="B246" s="75" t="s">
        <v>675</v>
      </c>
      <c r="C246" s="75"/>
      <c r="D246" s="119">
        <f>D248+D247</f>
        <v>51263.69999999999</v>
      </c>
      <c r="E246" s="119">
        <f t="shared" ref="E246:F246" si="80">E248+E247</f>
        <v>0</v>
      </c>
      <c r="F246" s="119">
        <f t="shared" si="80"/>
        <v>0</v>
      </c>
      <c r="L246" s="212"/>
      <c r="M246" s="212"/>
      <c r="N246" s="212"/>
    </row>
    <row r="247" spans="1:14" s="82" customFormat="1" ht="18.75" customHeight="1" x14ac:dyDescent="0.25">
      <c r="A247" s="24" t="s">
        <v>226</v>
      </c>
      <c r="B247" s="75" t="s">
        <v>675</v>
      </c>
      <c r="C247" s="75" t="s">
        <v>59</v>
      </c>
      <c r="D247" s="119">
        <f>'ведомств. стр. 2025-2027'!G196</f>
        <v>52.7</v>
      </c>
      <c r="E247" s="119">
        <f>'ведомств. стр. 2025-2027'!H196</f>
        <v>0</v>
      </c>
      <c r="F247" s="119">
        <f>'ведомств. стр. 2025-2027'!I196</f>
        <v>0</v>
      </c>
      <c r="L247" s="212"/>
      <c r="M247" s="212"/>
      <c r="N247" s="212"/>
    </row>
    <row r="248" spans="1:14" s="82" customFormat="1" ht="25.5" x14ac:dyDescent="0.25">
      <c r="A248" s="24" t="s">
        <v>64</v>
      </c>
      <c r="B248" s="75" t="s">
        <v>675</v>
      </c>
      <c r="C248" s="75" t="s">
        <v>65</v>
      </c>
      <c r="D248" s="119">
        <f>'ведомств. стр. 2025-2027'!G110+'ведомств. стр. 2025-2027'!G197</f>
        <v>51210.999999999993</v>
      </c>
      <c r="E248" s="119">
        <f>'ведомств. стр. 2025-2027'!H110+'ведомств. стр. 2025-2027'!H197</f>
        <v>0</v>
      </c>
      <c r="F248" s="119">
        <f>'ведомств. стр. 2025-2027'!I110+'ведомств. стр. 2025-2027'!I197</f>
        <v>0</v>
      </c>
      <c r="L248" s="212"/>
      <c r="M248" s="212"/>
      <c r="N248" s="212"/>
    </row>
    <row r="249" spans="1:14" s="6" customFormat="1" ht="25.5" x14ac:dyDescent="0.25">
      <c r="A249" s="72" t="s">
        <v>991</v>
      </c>
      <c r="B249" s="73" t="s">
        <v>990</v>
      </c>
      <c r="C249" s="73"/>
      <c r="D249" s="116">
        <f>D250</f>
        <v>12127.6</v>
      </c>
      <c r="E249" s="116">
        <f t="shared" ref="E249:F250" si="81">E250</f>
        <v>6637.1</v>
      </c>
      <c r="F249" s="116">
        <f t="shared" si="81"/>
        <v>3937.4</v>
      </c>
      <c r="L249" s="233"/>
      <c r="M249" s="233"/>
      <c r="N249" s="233"/>
    </row>
    <row r="250" spans="1:14" s="82" customFormat="1" x14ac:dyDescent="0.25">
      <c r="A250" s="24" t="s">
        <v>993</v>
      </c>
      <c r="B250" s="75" t="s">
        <v>992</v>
      </c>
      <c r="C250" s="75"/>
      <c r="D250" s="119">
        <f>D251</f>
        <v>12127.6</v>
      </c>
      <c r="E250" s="119">
        <f t="shared" si="81"/>
        <v>6637.1</v>
      </c>
      <c r="F250" s="119">
        <f t="shared" si="81"/>
        <v>3937.4</v>
      </c>
      <c r="L250" s="212"/>
      <c r="M250" s="212"/>
      <c r="N250" s="212"/>
    </row>
    <row r="251" spans="1:14" s="82" customFormat="1" ht="25.5" x14ac:dyDescent="0.25">
      <c r="A251" s="24" t="s">
        <v>64</v>
      </c>
      <c r="B251" s="75" t="s">
        <v>992</v>
      </c>
      <c r="C251" s="75" t="s">
        <v>65</v>
      </c>
      <c r="D251" s="119">
        <f>'ведомств. стр. 2025-2027'!G200+'ведомств. стр. 2025-2027'!G113</f>
        <v>12127.6</v>
      </c>
      <c r="E251" s="119">
        <f>'ведомств. стр. 2025-2027'!H200+'ведомств. стр. 2025-2027'!H113</f>
        <v>6637.1</v>
      </c>
      <c r="F251" s="119">
        <f>'ведомств. стр. 2025-2027'!I200+'ведомств. стр. 2025-2027'!I113</f>
        <v>3937.4</v>
      </c>
      <c r="L251" s="212"/>
      <c r="M251" s="212"/>
      <c r="N251" s="212"/>
    </row>
    <row r="252" spans="1:14" s="96" customFormat="1" ht="25.5" x14ac:dyDescent="0.2">
      <c r="A252" s="81" t="s">
        <v>476</v>
      </c>
      <c r="B252" s="80" t="s">
        <v>128</v>
      </c>
      <c r="C252" s="80"/>
      <c r="D252" s="117">
        <f>D253</f>
        <v>58591</v>
      </c>
      <c r="E252" s="117">
        <f>E253</f>
        <v>58591</v>
      </c>
      <c r="F252" s="117">
        <f>F253</f>
        <v>58591</v>
      </c>
      <c r="I252" s="194"/>
      <c r="J252" s="194"/>
      <c r="K252" s="194"/>
      <c r="L252" s="210"/>
      <c r="M252" s="210"/>
      <c r="N252" s="210"/>
    </row>
    <row r="253" spans="1:14" s="96" customFormat="1" ht="12.75" customHeight="1" x14ac:dyDescent="0.2">
      <c r="A253" s="72" t="s">
        <v>816</v>
      </c>
      <c r="B253" s="73" t="s">
        <v>129</v>
      </c>
      <c r="C253" s="73"/>
      <c r="D253" s="116">
        <f>D254</f>
        <v>58591</v>
      </c>
      <c r="E253" s="116">
        <f t="shared" ref="E253:F253" si="82">E254</f>
        <v>58591</v>
      </c>
      <c r="F253" s="116">
        <f t="shared" si="82"/>
        <v>58591</v>
      </c>
      <c r="L253" s="210"/>
      <c r="M253" s="210"/>
      <c r="N253" s="210"/>
    </row>
    <row r="254" spans="1:14" s="96" customFormat="1" ht="76.5" x14ac:dyDescent="0.2">
      <c r="A254" s="24" t="s">
        <v>900</v>
      </c>
      <c r="B254" s="75" t="s">
        <v>899</v>
      </c>
      <c r="C254" s="75"/>
      <c r="D254" s="119">
        <f>D255</f>
        <v>58591</v>
      </c>
      <c r="E254" s="119">
        <f>E255</f>
        <v>58591</v>
      </c>
      <c r="F254" s="119">
        <f>F255</f>
        <v>58591</v>
      </c>
      <c r="L254" s="210"/>
      <c r="M254" s="210"/>
      <c r="N254" s="210"/>
    </row>
    <row r="255" spans="1:14" s="96" customFormat="1" ht="25.5" x14ac:dyDescent="0.2">
      <c r="A255" s="24" t="s">
        <v>64</v>
      </c>
      <c r="B255" s="75" t="s">
        <v>899</v>
      </c>
      <c r="C255" s="75" t="s">
        <v>65</v>
      </c>
      <c r="D255" s="119">
        <f>'ведомств. стр. 2025-2027'!G657</f>
        <v>58591</v>
      </c>
      <c r="E255" s="119">
        <f>'ведомств. стр. 2025-2027'!H657</f>
        <v>58591</v>
      </c>
      <c r="F255" s="119">
        <f>'ведомств. стр. 2025-2027'!I657</f>
        <v>58591</v>
      </c>
      <c r="L255" s="210"/>
      <c r="M255" s="210"/>
      <c r="N255" s="210"/>
    </row>
    <row r="256" spans="1:14" s="97" customFormat="1" ht="12.75" customHeight="1" x14ac:dyDescent="0.2">
      <c r="A256" s="81" t="s">
        <v>494</v>
      </c>
      <c r="B256" s="80" t="s">
        <v>119</v>
      </c>
      <c r="C256" s="80"/>
      <c r="D256" s="117">
        <f>D257+D310+D325</f>
        <v>259346.10000000003</v>
      </c>
      <c r="E256" s="117">
        <f>E257+E310+E325</f>
        <v>262684.5</v>
      </c>
      <c r="F256" s="117">
        <f>F257+F310+F325</f>
        <v>278668.59999999998</v>
      </c>
      <c r="I256" s="195"/>
      <c r="J256" s="195"/>
      <c r="K256" s="195"/>
      <c r="L256" s="213"/>
      <c r="M256" s="213"/>
      <c r="N256" s="213"/>
    </row>
    <row r="257" spans="1:14" s="97" customFormat="1" ht="13.5" customHeight="1" x14ac:dyDescent="0.2">
      <c r="A257" s="112" t="s">
        <v>755</v>
      </c>
      <c r="B257" s="111" t="s">
        <v>495</v>
      </c>
      <c r="C257" s="111"/>
      <c r="D257" s="118">
        <f>D258+D277+D296+D304+D307</f>
        <v>244539.20000000004</v>
      </c>
      <c r="E257" s="118">
        <f t="shared" ref="E257:F257" si="83">E258+E277+E296+E304+E307</f>
        <v>251463.2</v>
      </c>
      <c r="F257" s="118">
        <f t="shared" si="83"/>
        <v>267027</v>
      </c>
      <c r="G257" s="109"/>
      <c r="H257" s="109"/>
      <c r="I257" s="109"/>
      <c r="L257" s="213"/>
      <c r="M257" s="213"/>
      <c r="N257" s="213"/>
    </row>
    <row r="258" spans="1:14" s="97" customFormat="1" ht="12.75" customHeight="1" x14ac:dyDescent="0.2">
      <c r="A258" s="72" t="s">
        <v>787</v>
      </c>
      <c r="B258" s="73" t="s">
        <v>520</v>
      </c>
      <c r="C258" s="73"/>
      <c r="D258" s="116">
        <f>D259+D270+D272+D274</f>
        <v>61004.3</v>
      </c>
      <c r="E258" s="116">
        <f t="shared" ref="E258:F258" si="84">E259+E270+E272+E275</f>
        <v>64693.30000000001</v>
      </c>
      <c r="F258" s="116">
        <f t="shared" si="84"/>
        <v>68284.2</v>
      </c>
      <c r="L258" s="213"/>
      <c r="M258" s="213"/>
      <c r="N258" s="213"/>
    </row>
    <row r="259" spans="1:14" s="97" customFormat="1" ht="25.5" x14ac:dyDescent="0.2">
      <c r="A259" s="24" t="s">
        <v>242</v>
      </c>
      <c r="B259" s="75" t="s">
        <v>521</v>
      </c>
      <c r="C259" s="75"/>
      <c r="D259" s="119">
        <f>D260+D262+D264+D268+D266</f>
        <v>60368</v>
      </c>
      <c r="E259" s="119">
        <f t="shared" ref="E259:F259" si="85">E260+E262+E264+E268+E266</f>
        <v>64064.80000000001</v>
      </c>
      <c r="F259" s="119">
        <f t="shared" si="85"/>
        <v>67662.2</v>
      </c>
      <c r="L259" s="213"/>
      <c r="M259" s="213"/>
      <c r="N259" s="213"/>
    </row>
    <row r="260" spans="1:14" s="97" customFormat="1" ht="38.25" x14ac:dyDescent="0.2">
      <c r="A260" s="24" t="s">
        <v>354</v>
      </c>
      <c r="B260" s="75" t="s">
        <v>522</v>
      </c>
      <c r="C260" s="75"/>
      <c r="D260" s="119">
        <f>D261</f>
        <v>55118.2</v>
      </c>
      <c r="E260" s="119">
        <f t="shared" ref="E260:F260" si="86">E261</f>
        <v>58776.4</v>
      </c>
      <c r="F260" s="119">
        <f t="shared" si="86"/>
        <v>62333.9</v>
      </c>
      <c r="L260" s="213"/>
      <c r="M260" s="213"/>
      <c r="N260" s="213"/>
    </row>
    <row r="261" spans="1:14" s="97" customFormat="1" ht="25.5" x14ac:dyDescent="0.2">
      <c r="A261" s="24" t="s">
        <v>64</v>
      </c>
      <c r="B261" s="75" t="s">
        <v>522</v>
      </c>
      <c r="C261" s="75" t="s">
        <v>65</v>
      </c>
      <c r="D261" s="119">
        <f>'ведомств. стр. 2025-2027'!G330</f>
        <v>55118.2</v>
      </c>
      <c r="E261" s="119">
        <f>'ведомств. стр. 2025-2027'!H330</f>
        <v>58776.4</v>
      </c>
      <c r="F261" s="119">
        <f>'ведомств. стр. 2025-2027'!I330</f>
        <v>62333.9</v>
      </c>
      <c r="L261" s="213"/>
      <c r="M261" s="213"/>
      <c r="N261" s="213"/>
    </row>
    <row r="262" spans="1:14" s="97" customFormat="1" ht="25.5" x14ac:dyDescent="0.2">
      <c r="A262" s="24" t="s">
        <v>353</v>
      </c>
      <c r="B262" s="75" t="s">
        <v>523</v>
      </c>
      <c r="C262" s="75"/>
      <c r="D262" s="119">
        <f>D263</f>
        <v>982.2</v>
      </c>
      <c r="E262" s="119">
        <f>E263</f>
        <v>1020.8</v>
      </c>
      <c r="F262" s="119">
        <f>F263</f>
        <v>1060.7</v>
      </c>
      <c r="L262" s="213"/>
      <c r="M262" s="213"/>
      <c r="N262" s="213"/>
    </row>
    <row r="263" spans="1:14" s="97" customFormat="1" ht="25.5" x14ac:dyDescent="0.2">
      <c r="A263" s="24" t="s">
        <v>64</v>
      </c>
      <c r="B263" s="75" t="s">
        <v>523</v>
      </c>
      <c r="C263" s="75" t="s">
        <v>65</v>
      </c>
      <c r="D263" s="119">
        <f>'ведомств. стр. 2025-2027'!G332</f>
        <v>982.2</v>
      </c>
      <c r="E263" s="119">
        <f>'ведомств. стр. 2025-2027'!H332</f>
        <v>1020.8</v>
      </c>
      <c r="F263" s="119">
        <f>'ведомств. стр. 2025-2027'!I332</f>
        <v>1060.7</v>
      </c>
      <c r="L263" s="213"/>
      <c r="M263" s="213"/>
      <c r="N263" s="213"/>
    </row>
    <row r="264" spans="1:14" s="97" customFormat="1" ht="25.5" x14ac:dyDescent="0.2">
      <c r="A264" s="24" t="s">
        <v>356</v>
      </c>
      <c r="B264" s="75" t="s">
        <v>524</v>
      </c>
      <c r="C264" s="75"/>
      <c r="D264" s="119">
        <f>D265</f>
        <v>2</v>
      </c>
      <c r="E264" s="119">
        <f>E265</f>
        <v>2</v>
      </c>
      <c r="F264" s="119">
        <f>F265</f>
        <v>2</v>
      </c>
      <c r="L264" s="213"/>
      <c r="M264" s="213"/>
      <c r="N264" s="213"/>
    </row>
    <row r="265" spans="1:14" s="97" customFormat="1" ht="25.5" x14ac:dyDescent="0.2">
      <c r="A265" s="24" t="s">
        <v>64</v>
      </c>
      <c r="B265" s="75" t="s">
        <v>524</v>
      </c>
      <c r="C265" s="75" t="s">
        <v>65</v>
      </c>
      <c r="D265" s="119">
        <f>'ведомств. стр. 2025-2027'!G334</f>
        <v>2</v>
      </c>
      <c r="E265" s="119">
        <f>'ведомств. стр. 2025-2027'!H334</f>
        <v>2</v>
      </c>
      <c r="F265" s="119">
        <f>'ведомств. стр. 2025-2027'!I334</f>
        <v>2</v>
      </c>
      <c r="L265" s="213"/>
      <c r="M265" s="213"/>
      <c r="N265" s="213"/>
    </row>
    <row r="266" spans="1:14" s="97" customFormat="1" ht="25.5" x14ac:dyDescent="0.2">
      <c r="A266" s="24" t="s">
        <v>698</v>
      </c>
      <c r="B266" s="75" t="s">
        <v>881</v>
      </c>
      <c r="C266" s="75"/>
      <c r="D266" s="119">
        <f>D267</f>
        <v>614.29999999999995</v>
      </c>
      <c r="E266" s="119">
        <f t="shared" ref="E266:F266" si="87">E267</f>
        <v>614.29999999999995</v>
      </c>
      <c r="F266" s="119">
        <f t="shared" si="87"/>
        <v>614.29999999999995</v>
      </c>
      <c r="L266" s="213"/>
      <c r="M266" s="213"/>
      <c r="N266" s="213"/>
    </row>
    <row r="267" spans="1:14" s="97" customFormat="1" ht="25.5" x14ac:dyDescent="0.2">
      <c r="A267" s="24" t="s">
        <v>64</v>
      </c>
      <c r="B267" s="75" t="s">
        <v>881</v>
      </c>
      <c r="C267" s="75" t="s">
        <v>65</v>
      </c>
      <c r="D267" s="119">
        <f>'ведомств. стр. 2025-2027'!G336</f>
        <v>614.29999999999995</v>
      </c>
      <c r="E267" s="119">
        <f>'ведомств. стр. 2025-2027'!H336</f>
        <v>614.29999999999995</v>
      </c>
      <c r="F267" s="119">
        <f>'ведомств. стр. 2025-2027'!I336</f>
        <v>614.29999999999995</v>
      </c>
      <c r="L267" s="213"/>
      <c r="M267" s="213"/>
      <c r="N267" s="213"/>
    </row>
    <row r="268" spans="1:14" s="97" customFormat="1" ht="25.5" x14ac:dyDescent="0.2">
      <c r="A268" s="24" t="s">
        <v>357</v>
      </c>
      <c r="B268" s="75" t="s">
        <v>525</v>
      </c>
      <c r="C268" s="75"/>
      <c r="D268" s="119">
        <f>D269</f>
        <v>3651.3</v>
      </c>
      <c r="E268" s="119">
        <f>E269</f>
        <v>3651.3</v>
      </c>
      <c r="F268" s="119">
        <f>F269</f>
        <v>3651.3</v>
      </c>
      <c r="L268" s="213"/>
      <c r="M268" s="213"/>
      <c r="N268" s="213"/>
    </row>
    <row r="269" spans="1:14" s="97" customFormat="1" ht="25.5" x14ac:dyDescent="0.2">
      <c r="A269" s="24" t="s">
        <v>64</v>
      </c>
      <c r="B269" s="75" t="s">
        <v>525</v>
      </c>
      <c r="C269" s="75" t="s">
        <v>65</v>
      </c>
      <c r="D269" s="119">
        <f>'ведомств. стр. 2025-2027'!G338</f>
        <v>3651.3</v>
      </c>
      <c r="E269" s="119">
        <f>'ведомств. стр. 2025-2027'!H338</f>
        <v>3651.3</v>
      </c>
      <c r="F269" s="119">
        <f>'ведомств. стр. 2025-2027'!I338</f>
        <v>3651.3</v>
      </c>
      <c r="L269" s="213"/>
      <c r="M269" s="213"/>
      <c r="N269" s="213"/>
    </row>
    <row r="270" spans="1:14" s="97" customFormat="1" ht="12.75" x14ac:dyDescent="0.2">
      <c r="A270" s="24" t="s">
        <v>289</v>
      </c>
      <c r="B270" s="75" t="s">
        <v>526</v>
      </c>
      <c r="C270" s="75"/>
      <c r="D270" s="119">
        <f>D271</f>
        <v>100</v>
      </c>
      <c r="E270" s="119">
        <f>E271</f>
        <v>100</v>
      </c>
      <c r="F270" s="119">
        <f>F271</f>
        <v>100</v>
      </c>
      <c r="L270" s="213"/>
      <c r="M270" s="213"/>
      <c r="N270" s="213"/>
    </row>
    <row r="271" spans="1:14" s="97" customFormat="1" ht="25.5" x14ac:dyDescent="0.2">
      <c r="A271" s="24" t="s">
        <v>64</v>
      </c>
      <c r="B271" s="75" t="s">
        <v>526</v>
      </c>
      <c r="C271" s="75" t="s">
        <v>65</v>
      </c>
      <c r="D271" s="119">
        <f>'ведомств. стр. 2025-2027'!G340</f>
        <v>100</v>
      </c>
      <c r="E271" s="119">
        <f>'ведомств. стр. 2025-2027'!H340</f>
        <v>100</v>
      </c>
      <c r="F271" s="119">
        <f>'ведомств. стр. 2025-2027'!I340</f>
        <v>100</v>
      </c>
      <c r="L271" s="213"/>
      <c r="M271" s="213"/>
      <c r="N271" s="213"/>
    </row>
    <row r="272" spans="1:14" s="97" customFormat="1" ht="12.75" x14ac:dyDescent="0.2">
      <c r="A272" s="23" t="s">
        <v>91</v>
      </c>
      <c r="B272" s="75" t="s">
        <v>527</v>
      </c>
      <c r="C272" s="75"/>
      <c r="D272" s="119">
        <f>D273</f>
        <v>125</v>
      </c>
      <c r="E272" s="119">
        <f>E273</f>
        <v>125</v>
      </c>
      <c r="F272" s="119">
        <f>F273</f>
        <v>125</v>
      </c>
      <c r="L272" s="213"/>
      <c r="M272" s="213"/>
      <c r="N272" s="213"/>
    </row>
    <row r="273" spans="1:14" s="97" customFormat="1" ht="25.5" x14ac:dyDescent="0.2">
      <c r="A273" s="24" t="s">
        <v>64</v>
      </c>
      <c r="B273" s="75" t="s">
        <v>527</v>
      </c>
      <c r="C273" s="75" t="s">
        <v>65</v>
      </c>
      <c r="D273" s="119">
        <f>'ведомств. стр. 2025-2027'!G342</f>
        <v>125</v>
      </c>
      <c r="E273" s="119">
        <f>'ведомств. стр. 2025-2027'!H342</f>
        <v>125</v>
      </c>
      <c r="F273" s="119">
        <f>'ведомств. стр. 2025-2027'!I342</f>
        <v>125</v>
      </c>
      <c r="L273" s="213"/>
      <c r="M273" s="213"/>
      <c r="N273" s="213"/>
    </row>
    <row r="274" spans="1:14" s="97" customFormat="1" ht="12.75" x14ac:dyDescent="0.2">
      <c r="A274" s="24" t="s">
        <v>911</v>
      </c>
      <c r="B274" s="75" t="s">
        <v>910</v>
      </c>
      <c r="C274" s="75"/>
      <c r="D274" s="119">
        <f>D275</f>
        <v>411.3</v>
      </c>
      <c r="E274" s="119">
        <f t="shared" ref="E274:F274" si="88">E275</f>
        <v>403.5</v>
      </c>
      <c r="F274" s="119">
        <f t="shared" si="88"/>
        <v>397</v>
      </c>
      <c r="L274" s="213"/>
      <c r="M274" s="213"/>
      <c r="N274" s="213"/>
    </row>
    <row r="275" spans="1:14" s="97" customFormat="1" ht="38.25" x14ac:dyDescent="0.2">
      <c r="A275" s="24" t="s">
        <v>729</v>
      </c>
      <c r="B275" s="75" t="s">
        <v>728</v>
      </c>
      <c r="C275" s="75"/>
      <c r="D275" s="119">
        <f>D276</f>
        <v>411.3</v>
      </c>
      <c r="E275" s="119">
        <f t="shared" ref="E275:F275" si="89">E276</f>
        <v>403.5</v>
      </c>
      <c r="F275" s="119">
        <f t="shared" si="89"/>
        <v>397</v>
      </c>
      <c r="L275" s="213"/>
      <c r="M275" s="213"/>
      <c r="N275" s="213"/>
    </row>
    <row r="276" spans="1:14" s="97" customFormat="1" ht="25.5" x14ac:dyDescent="0.2">
      <c r="A276" s="24" t="s">
        <v>64</v>
      </c>
      <c r="B276" s="75" t="s">
        <v>728</v>
      </c>
      <c r="C276" s="75" t="s">
        <v>65</v>
      </c>
      <c r="D276" s="119">
        <f>'ведомств. стр. 2025-2027'!G345</f>
        <v>411.3</v>
      </c>
      <c r="E276" s="119">
        <f>'ведомств. стр. 2025-2027'!H345</f>
        <v>403.5</v>
      </c>
      <c r="F276" s="119">
        <f>'ведомств. стр. 2025-2027'!I345</f>
        <v>397</v>
      </c>
      <c r="L276" s="213"/>
      <c r="M276" s="213"/>
      <c r="N276" s="213"/>
    </row>
    <row r="277" spans="1:14" s="97" customFormat="1" ht="25.5" x14ac:dyDescent="0.2">
      <c r="A277" s="72" t="s">
        <v>788</v>
      </c>
      <c r="B277" s="73" t="s">
        <v>528</v>
      </c>
      <c r="C277" s="73"/>
      <c r="D277" s="116">
        <f>D278+D289+D291+D293</f>
        <v>170581.30000000002</v>
      </c>
      <c r="E277" s="116">
        <f t="shared" ref="E277:F277" si="90">E278+E289+E291+E293</f>
        <v>178919.9</v>
      </c>
      <c r="F277" s="116">
        <f t="shared" si="90"/>
        <v>190892.80000000002</v>
      </c>
      <c r="L277" s="213"/>
      <c r="M277" s="213"/>
      <c r="N277" s="213"/>
    </row>
    <row r="278" spans="1:14" s="97" customFormat="1" ht="25.5" x14ac:dyDescent="0.2">
      <c r="A278" s="24" t="s">
        <v>242</v>
      </c>
      <c r="B278" s="75" t="s">
        <v>529</v>
      </c>
      <c r="C278" s="75"/>
      <c r="D278" s="119">
        <f>D279+D281+D283+D287+D285</f>
        <v>168169.00000000003</v>
      </c>
      <c r="E278" s="119">
        <f t="shared" ref="E278:F278" si="91">E279+E281+E283+E287+E285</f>
        <v>177379.9</v>
      </c>
      <c r="F278" s="119">
        <f t="shared" si="91"/>
        <v>189378.6</v>
      </c>
      <c r="L278" s="213"/>
      <c r="M278" s="213"/>
      <c r="N278" s="213"/>
    </row>
    <row r="279" spans="1:14" s="97" customFormat="1" ht="38.25" x14ac:dyDescent="0.2">
      <c r="A279" s="24" t="s">
        <v>354</v>
      </c>
      <c r="B279" s="75" t="s">
        <v>530</v>
      </c>
      <c r="C279" s="75"/>
      <c r="D279" s="119">
        <f>D280</f>
        <v>150378.80000000002</v>
      </c>
      <c r="E279" s="119">
        <f>E280</f>
        <v>164079.19999999998</v>
      </c>
      <c r="F279" s="119">
        <f>F280</f>
        <v>174052</v>
      </c>
      <c r="L279" s="213"/>
      <c r="M279" s="213"/>
      <c r="N279" s="213"/>
    </row>
    <row r="280" spans="1:14" s="97" customFormat="1" ht="25.5" x14ac:dyDescent="0.2">
      <c r="A280" s="24" t="s">
        <v>64</v>
      </c>
      <c r="B280" s="75" t="s">
        <v>530</v>
      </c>
      <c r="C280" s="75" t="s">
        <v>65</v>
      </c>
      <c r="D280" s="119">
        <f>'ведомств. стр. 2025-2027'!G349</f>
        <v>150378.80000000002</v>
      </c>
      <c r="E280" s="119">
        <f>'ведомств. стр. 2025-2027'!H349</f>
        <v>164079.19999999998</v>
      </c>
      <c r="F280" s="119">
        <f>'ведомств. стр. 2025-2027'!I349</f>
        <v>174052</v>
      </c>
      <c r="L280" s="213"/>
      <c r="M280" s="213"/>
      <c r="N280" s="213"/>
    </row>
    <row r="281" spans="1:14" s="97" customFormat="1" ht="25.5" customHeight="1" x14ac:dyDescent="0.2">
      <c r="A281" s="24" t="s">
        <v>353</v>
      </c>
      <c r="B281" s="75" t="s">
        <v>531</v>
      </c>
      <c r="C281" s="75"/>
      <c r="D281" s="119">
        <f>D282</f>
        <v>5141.3999999999996</v>
      </c>
      <c r="E281" s="119">
        <f>E282</f>
        <v>4048</v>
      </c>
      <c r="F281" s="119">
        <f>F282</f>
        <v>4211.5</v>
      </c>
      <c r="L281" s="213"/>
      <c r="M281" s="213"/>
      <c r="N281" s="213"/>
    </row>
    <row r="282" spans="1:14" s="108" customFormat="1" ht="25.5" customHeight="1" x14ac:dyDescent="0.2">
      <c r="A282" s="24" t="s">
        <v>64</v>
      </c>
      <c r="B282" s="75" t="s">
        <v>531</v>
      </c>
      <c r="C282" s="75" t="s">
        <v>65</v>
      </c>
      <c r="D282" s="119">
        <f>'ведомств. стр. 2025-2027'!G351</f>
        <v>5141.3999999999996</v>
      </c>
      <c r="E282" s="119">
        <f>'ведомств. стр. 2025-2027'!H351</f>
        <v>4048</v>
      </c>
      <c r="F282" s="119">
        <f>'ведомств. стр. 2025-2027'!I351</f>
        <v>4211.5</v>
      </c>
      <c r="L282" s="214"/>
      <c r="M282" s="214"/>
      <c r="N282" s="214"/>
    </row>
    <row r="283" spans="1:14" s="108" customFormat="1" ht="25.5" customHeight="1" x14ac:dyDescent="0.2">
      <c r="A283" s="24" t="s">
        <v>356</v>
      </c>
      <c r="B283" s="75" t="s">
        <v>532</v>
      </c>
      <c r="C283" s="75"/>
      <c r="D283" s="119">
        <f>D284</f>
        <v>50.7</v>
      </c>
      <c r="E283" s="119">
        <f>E284</f>
        <v>50.7</v>
      </c>
      <c r="F283" s="119">
        <f>F284</f>
        <v>50.7</v>
      </c>
      <c r="L283" s="214"/>
      <c r="M283" s="214"/>
      <c r="N283" s="214"/>
    </row>
    <row r="284" spans="1:14" s="108" customFormat="1" ht="25.5" x14ac:dyDescent="0.2">
      <c r="A284" s="24" t="s">
        <v>64</v>
      </c>
      <c r="B284" s="75" t="s">
        <v>532</v>
      </c>
      <c r="C284" s="75" t="s">
        <v>65</v>
      </c>
      <c r="D284" s="119">
        <f>'ведомств. стр. 2025-2027'!G353</f>
        <v>50.7</v>
      </c>
      <c r="E284" s="119">
        <f>'ведомств. стр. 2025-2027'!H353</f>
        <v>50.7</v>
      </c>
      <c r="F284" s="119">
        <f>'ведомств. стр. 2025-2027'!I353</f>
        <v>50.7</v>
      </c>
      <c r="L284" s="214"/>
      <c r="M284" s="214"/>
      <c r="N284" s="214"/>
    </row>
    <row r="285" spans="1:14" s="108" customFormat="1" ht="25.5" x14ac:dyDescent="0.2">
      <c r="A285" s="24" t="s">
        <v>698</v>
      </c>
      <c r="B285" s="75" t="s">
        <v>882</v>
      </c>
      <c r="C285" s="48"/>
      <c r="D285" s="119">
        <f>D286</f>
        <v>6541.4</v>
      </c>
      <c r="E285" s="119">
        <f t="shared" ref="E285:F285" si="92">E286</f>
        <v>4431.8999999999996</v>
      </c>
      <c r="F285" s="119">
        <f t="shared" si="92"/>
        <v>4431.8999999999996</v>
      </c>
      <c r="L285" s="214"/>
      <c r="M285" s="214"/>
      <c r="N285" s="214"/>
    </row>
    <row r="286" spans="1:14" s="108" customFormat="1" ht="25.5" x14ac:dyDescent="0.2">
      <c r="A286" s="24" t="s">
        <v>64</v>
      </c>
      <c r="B286" s="75" t="s">
        <v>882</v>
      </c>
      <c r="C286" s="48" t="s">
        <v>65</v>
      </c>
      <c r="D286" s="119">
        <f>'ведомств. стр. 2025-2027'!G355</f>
        <v>6541.4</v>
      </c>
      <c r="E286" s="119">
        <f>'ведомств. стр. 2025-2027'!H355</f>
        <v>4431.8999999999996</v>
      </c>
      <c r="F286" s="119">
        <f>'ведомств. стр. 2025-2027'!I355</f>
        <v>4431.8999999999996</v>
      </c>
      <c r="L286" s="214"/>
      <c r="M286" s="214"/>
      <c r="N286" s="214"/>
    </row>
    <row r="287" spans="1:14" s="108" customFormat="1" ht="25.5" customHeight="1" x14ac:dyDescent="0.2">
      <c r="A287" s="24" t="s">
        <v>357</v>
      </c>
      <c r="B287" s="75" t="s">
        <v>533</v>
      </c>
      <c r="C287" s="75"/>
      <c r="D287" s="119">
        <f>D288</f>
        <v>6056.7000000000007</v>
      </c>
      <c r="E287" s="119">
        <f>E288</f>
        <v>4770.1000000000004</v>
      </c>
      <c r="F287" s="119">
        <f>F288</f>
        <v>6632.5</v>
      </c>
      <c r="L287" s="214"/>
      <c r="M287" s="214"/>
      <c r="N287" s="214"/>
    </row>
    <row r="288" spans="1:14" s="108" customFormat="1" ht="25.5" customHeight="1" x14ac:dyDescent="0.2">
      <c r="A288" s="24" t="s">
        <v>64</v>
      </c>
      <c r="B288" s="75" t="s">
        <v>533</v>
      </c>
      <c r="C288" s="75" t="s">
        <v>65</v>
      </c>
      <c r="D288" s="119">
        <f>'ведомств. стр. 2025-2027'!G357</f>
        <v>6056.7000000000007</v>
      </c>
      <c r="E288" s="119">
        <f>'ведомств. стр. 2025-2027'!H357</f>
        <v>4770.1000000000004</v>
      </c>
      <c r="F288" s="119">
        <f>'ведомств. стр. 2025-2027'!I357</f>
        <v>6632.5</v>
      </c>
      <c r="L288" s="214"/>
      <c r="M288" s="214"/>
      <c r="N288" s="214"/>
    </row>
    <row r="289" spans="1:14" s="108" customFormat="1" ht="12.75" x14ac:dyDescent="0.2">
      <c r="A289" s="24" t="s">
        <v>289</v>
      </c>
      <c r="B289" s="75" t="s">
        <v>534</v>
      </c>
      <c r="C289" s="75"/>
      <c r="D289" s="119">
        <f>D290</f>
        <v>1671.1</v>
      </c>
      <c r="E289" s="119">
        <f>E290</f>
        <v>770</v>
      </c>
      <c r="F289" s="119">
        <f>F290</f>
        <v>770</v>
      </c>
      <c r="L289" s="214"/>
      <c r="M289" s="214"/>
      <c r="N289" s="214"/>
    </row>
    <row r="290" spans="1:14" s="108" customFormat="1" ht="25.5" customHeight="1" x14ac:dyDescent="0.2">
      <c r="A290" s="24" t="s">
        <v>64</v>
      </c>
      <c r="B290" s="75" t="s">
        <v>534</v>
      </c>
      <c r="C290" s="75" t="s">
        <v>65</v>
      </c>
      <c r="D290" s="119">
        <f>'ведомств. стр. 2025-2027'!G359</f>
        <v>1671.1</v>
      </c>
      <c r="E290" s="119">
        <f>'ведомств. стр. 2025-2027'!H359</f>
        <v>770</v>
      </c>
      <c r="F290" s="119">
        <f>'ведомств. стр. 2025-2027'!I359</f>
        <v>770</v>
      </c>
      <c r="L290" s="214"/>
      <c r="M290" s="214"/>
      <c r="N290" s="214"/>
    </row>
    <row r="291" spans="1:14" s="108" customFormat="1" ht="25.5" customHeight="1" x14ac:dyDescent="0.2">
      <c r="A291" s="24" t="s">
        <v>606</v>
      </c>
      <c r="B291" s="75" t="s">
        <v>605</v>
      </c>
      <c r="C291" s="75"/>
      <c r="D291" s="119">
        <f>D292</f>
        <v>684.9</v>
      </c>
      <c r="E291" s="119">
        <f t="shared" ref="E291:F291" si="93">E292</f>
        <v>770</v>
      </c>
      <c r="F291" s="119">
        <f t="shared" si="93"/>
        <v>744.2</v>
      </c>
      <c r="L291" s="214"/>
      <c r="M291" s="214"/>
      <c r="N291" s="214"/>
    </row>
    <row r="292" spans="1:14" s="108" customFormat="1" ht="25.5" customHeight="1" x14ac:dyDescent="0.2">
      <c r="A292" s="24" t="s">
        <v>64</v>
      </c>
      <c r="B292" s="75" t="s">
        <v>605</v>
      </c>
      <c r="C292" s="75" t="s">
        <v>65</v>
      </c>
      <c r="D292" s="119">
        <f>'ведомств. стр. 2025-2027'!G361</f>
        <v>684.9</v>
      </c>
      <c r="E292" s="119">
        <f>'ведомств. стр. 2025-2027'!H361</f>
        <v>770</v>
      </c>
      <c r="F292" s="119">
        <f>'ведомств. стр. 2025-2027'!I361</f>
        <v>744.2</v>
      </c>
      <c r="L292" s="214"/>
      <c r="M292" s="214"/>
      <c r="N292" s="214"/>
    </row>
    <row r="293" spans="1:14" s="108" customFormat="1" ht="12.75" x14ac:dyDescent="0.2">
      <c r="A293" s="24" t="s">
        <v>1004</v>
      </c>
      <c r="B293" s="75" t="s">
        <v>1003</v>
      </c>
      <c r="C293" s="75"/>
      <c r="D293" s="119">
        <f>D294</f>
        <v>56.3</v>
      </c>
      <c r="E293" s="119">
        <f t="shared" ref="E293:F294" si="94">E294</f>
        <v>0</v>
      </c>
      <c r="F293" s="119">
        <f t="shared" si="94"/>
        <v>0</v>
      </c>
      <c r="L293" s="214"/>
      <c r="M293" s="214"/>
      <c r="N293" s="214"/>
    </row>
    <row r="294" spans="1:14" s="108" customFormat="1" ht="25.5" customHeight="1" x14ac:dyDescent="0.2">
      <c r="A294" s="24" t="s">
        <v>916</v>
      </c>
      <c r="B294" s="75" t="s">
        <v>1005</v>
      </c>
      <c r="C294" s="75"/>
      <c r="D294" s="119">
        <f>D295</f>
        <v>56.3</v>
      </c>
      <c r="E294" s="119">
        <f t="shared" si="94"/>
        <v>0</v>
      </c>
      <c r="F294" s="119">
        <f t="shared" si="94"/>
        <v>0</v>
      </c>
      <c r="L294" s="214"/>
      <c r="M294" s="214"/>
      <c r="N294" s="214"/>
    </row>
    <row r="295" spans="1:14" s="108" customFormat="1" ht="25.5" customHeight="1" x14ac:dyDescent="0.2">
      <c r="A295" s="24" t="s">
        <v>64</v>
      </c>
      <c r="B295" s="75" t="s">
        <v>1005</v>
      </c>
      <c r="C295" s="75" t="s">
        <v>65</v>
      </c>
      <c r="D295" s="119">
        <f>'ведомств. стр. 2025-2027'!G364</f>
        <v>56.3</v>
      </c>
      <c r="E295" s="119">
        <f>'ведомств. стр. 2025-2027'!H364</f>
        <v>0</v>
      </c>
      <c r="F295" s="119">
        <f>'ведомств. стр. 2025-2027'!I364</f>
        <v>0</v>
      </c>
      <c r="L295" s="214"/>
      <c r="M295" s="214"/>
      <c r="N295" s="214"/>
    </row>
    <row r="296" spans="1:14" s="4" customFormat="1" ht="25.5" x14ac:dyDescent="0.25">
      <c r="A296" s="72" t="s">
        <v>789</v>
      </c>
      <c r="B296" s="73" t="s">
        <v>536</v>
      </c>
      <c r="C296" s="73"/>
      <c r="D296" s="116">
        <f>D297+D300+D302</f>
        <v>9640</v>
      </c>
      <c r="E296" s="116">
        <f t="shared" ref="E296:F296" si="95">E297+E300+E302</f>
        <v>7600</v>
      </c>
      <c r="F296" s="116">
        <f t="shared" si="95"/>
        <v>7600</v>
      </c>
      <c r="L296" s="215"/>
      <c r="M296" s="215"/>
      <c r="N296" s="215"/>
    </row>
    <row r="297" spans="1:14" s="4" customFormat="1" x14ac:dyDescent="0.25">
      <c r="A297" s="23" t="s">
        <v>92</v>
      </c>
      <c r="B297" s="75" t="s">
        <v>537</v>
      </c>
      <c r="C297" s="75"/>
      <c r="D297" s="119">
        <f>D298+D299</f>
        <v>3640</v>
      </c>
      <c r="E297" s="119">
        <f t="shared" ref="E297:F297" si="96">E298+E299</f>
        <v>4100</v>
      </c>
      <c r="F297" s="119">
        <f t="shared" si="96"/>
        <v>4100</v>
      </c>
      <c r="L297" s="215"/>
      <c r="M297" s="215"/>
      <c r="N297" s="215"/>
    </row>
    <row r="298" spans="1:14" s="4" customFormat="1" ht="25.5" x14ac:dyDescent="0.25">
      <c r="A298" s="24" t="s">
        <v>226</v>
      </c>
      <c r="B298" s="75" t="s">
        <v>537</v>
      </c>
      <c r="C298" s="75" t="s">
        <v>59</v>
      </c>
      <c r="D298" s="119">
        <f>'ведомств. стр. 2025-2027'!G367</f>
        <v>3525</v>
      </c>
      <c r="E298" s="119">
        <f>'ведомств. стр. 2025-2027'!H367</f>
        <v>4100</v>
      </c>
      <c r="F298" s="119">
        <f>'ведомств. стр. 2025-2027'!I367</f>
        <v>4100</v>
      </c>
      <c r="L298" s="215"/>
      <c r="M298" s="215"/>
      <c r="N298" s="215"/>
    </row>
    <row r="299" spans="1:14" s="4" customFormat="1" x14ac:dyDescent="0.25">
      <c r="A299" s="28" t="s">
        <v>85</v>
      </c>
      <c r="B299" s="75" t="s">
        <v>537</v>
      </c>
      <c r="C299" s="75" t="s">
        <v>86</v>
      </c>
      <c r="D299" s="119">
        <f>'ведомств. стр. 2025-2027'!G368</f>
        <v>115</v>
      </c>
      <c r="E299" s="119">
        <f>'ведомств. стр. 2025-2027'!H368</f>
        <v>0</v>
      </c>
      <c r="F299" s="119">
        <f>'ведомств. стр. 2025-2027'!I368</f>
        <v>0</v>
      </c>
      <c r="L299" s="215"/>
      <c r="M299" s="215"/>
      <c r="N299" s="215"/>
    </row>
    <row r="300" spans="1:14" s="4" customFormat="1" x14ac:dyDescent="0.25">
      <c r="A300" s="24" t="s">
        <v>654</v>
      </c>
      <c r="B300" s="75" t="s">
        <v>660</v>
      </c>
      <c r="C300" s="75"/>
      <c r="D300" s="119">
        <f>D301</f>
        <v>0</v>
      </c>
      <c r="E300" s="119">
        <f t="shared" ref="E300:F300" si="97">E301</f>
        <v>3500</v>
      </c>
      <c r="F300" s="119">
        <f t="shared" si="97"/>
        <v>3500</v>
      </c>
      <c r="L300" s="215"/>
      <c r="M300" s="215"/>
      <c r="N300" s="215"/>
    </row>
    <row r="301" spans="1:14" s="4" customFormat="1" ht="25.5" x14ac:dyDescent="0.25">
      <c r="A301" s="24" t="s">
        <v>226</v>
      </c>
      <c r="B301" s="75" t="s">
        <v>660</v>
      </c>
      <c r="C301" s="75" t="s">
        <v>59</v>
      </c>
      <c r="D301" s="119">
        <f>'ведомств. стр. 2025-2027'!G370</f>
        <v>0</v>
      </c>
      <c r="E301" s="119">
        <f>'ведомств. стр. 2025-2027'!H370</f>
        <v>3500</v>
      </c>
      <c r="F301" s="119">
        <f>'ведомств. стр. 2025-2027'!I370</f>
        <v>3500</v>
      </c>
      <c r="L301" s="215"/>
      <c r="M301" s="215"/>
      <c r="N301" s="215"/>
    </row>
    <row r="302" spans="1:14" s="4" customFormat="1" ht="51" x14ac:dyDescent="0.25">
      <c r="A302" s="24" t="s">
        <v>952</v>
      </c>
      <c r="B302" s="75" t="s">
        <v>951</v>
      </c>
      <c r="C302" s="75"/>
      <c r="D302" s="119">
        <f>D303</f>
        <v>6000</v>
      </c>
      <c r="E302" s="119">
        <f t="shared" ref="E302:F302" si="98">E303</f>
        <v>0</v>
      </c>
      <c r="F302" s="119">
        <f t="shared" si="98"/>
        <v>0</v>
      </c>
      <c r="L302" s="215"/>
      <c r="M302" s="215"/>
      <c r="N302" s="215"/>
    </row>
    <row r="303" spans="1:14" s="4" customFormat="1" ht="25.5" x14ac:dyDescent="0.25">
      <c r="A303" s="24" t="s">
        <v>64</v>
      </c>
      <c r="B303" s="75" t="s">
        <v>951</v>
      </c>
      <c r="C303" s="75" t="s">
        <v>65</v>
      </c>
      <c r="D303" s="119">
        <f>'ведомств. стр. 2025-2027'!G777</f>
        <v>6000</v>
      </c>
      <c r="E303" s="119">
        <f>'ведомств. стр. 2025-2027'!H777</f>
        <v>0</v>
      </c>
      <c r="F303" s="119">
        <f>'ведомств. стр. 2025-2027'!I777</f>
        <v>0</v>
      </c>
      <c r="L303" s="215"/>
      <c r="M303" s="215"/>
      <c r="N303" s="215"/>
    </row>
    <row r="304" spans="1:14" s="4" customFormat="1" ht="38.25" x14ac:dyDescent="0.25">
      <c r="A304" s="72" t="s">
        <v>825</v>
      </c>
      <c r="B304" s="73" t="s">
        <v>496</v>
      </c>
      <c r="C304" s="73"/>
      <c r="D304" s="116">
        <f>D305</f>
        <v>250</v>
      </c>
      <c r="E304" s="116">
        <f t="shared" ref="D304:F305" si="99">E305</f>
        <v>250</v>
      </c>
      <c r="F304" s="116">
        <f t="shared" si="99"/>
        <v>250</v>
      </c>
      <c r="L304" s="215"/>
      <c r="M304" s="215"/>
      <c r="N304" s="215"/>
    </row>
    <row r="305" spans="1:14" ht="25.5" x14ac:dyDescent="0.25">
      <c r="A305" s="24" t="s">
        <v>308</v>
      </c>
      <c r="B305" s="75" t="s">
        <v>497</v>
      </c>
      <c r="C305" s="75"/>
      <c r="D305" s="119">
        <f t="shared" si="99"/>
        <v>250</v>
      </c>
      <c r="E305" s="119">
        <f t="shared" si="99"/>
        <v>250</v>
      </c>
      <c r="F305" s="119">
        <f t="shared" si="99"/>
        <v>250</v>
      </c>
    </row>
    <row r="306" spans="1:14" ht="25.5" x14ac:dyDescent="0.25">
      <c r="A306" s="24" t="s">
        <v>64</v>
      </c>
      <c r="B306" s="75" t="s">
        <v>497</v>
      </c>
      <c r="C306" s="75" t="s">
        <v>65</v>
      </c>
      <c r="D306" s="119">
        <f>'ведомств. стр. 2025-2027'!G780</f>
        <v>250</v>
      </c>
      <c r="E306" s="119">
        <f>'ведомств. стр. 2025-2027'!H780</f>
        <v>250</v>
      </c>
      <c r="F306" s="119">
        <f>'ведомств. стр. 2025-2027'!I780</f>
        <v>250</v>
      </c>
    </row>
    <row r="307" spans="1:14" s="4" customFormat="1" x14ac:dyDescent="0.25">
      <c r="A307" s="72" t="s">
        <v>963</v>
      </c>
      <c r="B307" s="73" t="s">
        <v>964</v>
      </c>
      <c r="C307" s="73"/>
      <c r="D307" s="116">
        <f>D308</f>
        <v>3063.6</v>
      </c>
      <c r="E307" s="116">
        <f t="shared" ref="E307:F308" si="100">E308</f>
        <v>0</v>
      </c>
      <c r="F307" s="116">
        <f t="shared" si="100"/>
        <v>0</v>
      </c>
      <c r="L307" s="215"/>
      <c r="M307" s="215"/>
      <c r="N307" s="215"/>
    </row>
    <row r="308" spans="1:14" x14ac:dyDescent="0.25">
      <c r="A308" s="24" t="s">
        <v>965</v>
      </c>
      <c r="B308" s="75" t="s">
        <v>966</v>
      </c>
      <c r="C308" s="75"/>
      <c r="D308" s="119">
        <f>D309</f>
        <v>3063.6</v>
      </c>
      <c r="E308" s="119">
        <f t="shared" si="100"/>
        <v>0</v>
      </c>
      <c r="F308" s="119">
        <f t="shared" si="100"/>
        <v>0</v>
      </c>
    </row>
    <row r="309" spans="1:14" x14ac:dyDescent="0.25">
      <c r="A309" s="24" t="s">
        <v>95</v>
      </c>
      <c r="B309" s="75" t="s">
        <v>966</v>
      </c>
      <c r="C309" s="75" t="s">
        <v>62</v>
      </c>
      <c r="D309" s="119">
        <f>'ведомств. стр. 2025-2027'!G373</f>
        <v>3063.6</v>
      </c>
      <c r="E309" s="119">
        <f>'ведомств. стр. 2025-2027'!H373</f>
        <v>0</v>
      </c>
      <c r="F309" s="119">
        <f>'ведомств. стр. 2025-2027'!I373</f>
        <v>0</v>
      </c>
    </row>
    <row r="310" spans="1:14" x14ac:dyDescent="0.25">
      <c r="A310" s="112" t="s">
        <v>756</v>
      </c>
      <c r="B310" s="111" t="s">
        <v>617</v>
      </c>
      <c r="C310" s="111"/>
      <c r="D310" s="118">
        <f>D311+D318+D321</f>
        <v>4315</v>
      </c>
      <c r="E310" s="118">
        <f t="shared" ref="E310:F310" si="101">E311+E318+E321</f>
        <v>350</v>
      </c>
      <c r="F310" s="118">
        <f t="shared" si="101"/>
        <v>350</v>
      </c>
    </row>
    <row r="311" spans="1:14" x14ac:dyDescent="0.25">
      <c r="A311" s="72" t="s">
        <v>790</v>
      </c>
      <c r="B311" s="73" t="s">
        <v>618</v>
      </c>
      <c r="C311" s="73"/>
      <c r="D311" s="116">
        <f>D312+D314+D316</f>
        <v>200</v>
      </c>
      <c r="E311" s="116">
        <f t="shared" ref="E311:F311" si="102">E312+E314+E316</f>
        <v>200</v>
      </c>
      <c r="F311" s="116">
        <f t="shared" si="102"/>
        <v>200</v>
      </c>
    </row>
    <row r="312" spans="1:14" x14ac:dyDescent="0.25">
      <c r="A312" s="24" t="s">
        <v>622</v>
      </c>
      <c r="B312" s="75" t="s">
        <v>621</v>
      </c>
      <c r="C312" s="75"/>
      <c r="D312" s="119">
        <f>D313</f>
        <v>30</v>
      </c>
      <c r="E312" s="119">
        <f t="shared" ref="E312:F312" si="103">E313</f>
        <v>30</v>
      </c>
      <c r="F312" s="119">
        <f t="shared" si="103"/>
        <v>30</v>
      </c>
    </row>
    <row r="313" spans="1:14" ht="25.5" x14ac:dyDescent="0.25">
      <c r="A313" s="24" t="s">
        <v>226</v>
      </c>
      <c r="B313" s="75" t="s">
        <v>621</v>
      </c>
      <c r="C313" s="75" t="s">
        <v>59</v>
      </c>
      <c r="D313" s="119">
        <f>'ведомств. стр. 2025-2027'!G377</f>
        <v>30</v>
      </c>
      <c r="E313" s="119">
        <f>'ведомств. стр. 2025-2027'!H377</f>
        <v>30</v>
      </c>
      <c r="F313" s="119">
        <f>'ведомств. стр. 2025-2027'!I377</f>
        <v>30</v>
      </c>
    </row>
    <row r="314" spans="1:14" x14ac:dyDescent="0.25">
      <c r="A314" s="24" t="s">
        <v>620</v>
      </c>
      <c r="B314" s="75" t="s">
        <v>619</v>
      </c>
      <c r="C314" s="75"/>
      <c r="D314" s="119">
        <f>D315</f>
        <v>50</v>
      </c>
      <c r="E314" s="119">
        <f t="shared" ref="E314:F314" si="104">E315</f>
        <v>50</v>
      </c>
      <c r="F314" s="119">
        <f t="shared" si="104"/>
        <v>50</v>
      </c>
    </row>
    <row r="315" spans="1:14" ht="25.5" x14ac:dyDescent="0.25">
      <c r="A315" s="24" t="s">
        <v>226</v>
      </c>
      <c r="B315" s="75" t="s">
        <v>619</v>
      </c>
      <c r="C315" s="75" t="s">
        <v>59</v>
      </c>
      <c r="D315" s="119">
        <f>'ведомств. стр. 2025-2027'!G379</f>
        <v>50</v>
      </c>
      <c r="E315" s="119">
        <f>'ведомств. стр. 2025-2027'!H379</f>
        <v>50</v>
      </c>
      <c r="F315" s="119">
        <f>'ведомств. стр. 2025-2027'!I379</f>
        <v>50</v>
      </c>
    </row>
    <row r="316" spans="1:14" x14ac:dyDescent="0.25">
      <c r="A316" s="24" t="s">
        <v>624</v>
      </c>
      <c r="B316" s="75" t="s">
        <v>623</v>
      </c>
      <c r="C316" s="75"/>
      <c r="D316" s="119">
        <f>D317</f>
        <v>120</v>
      </c>
      <c r="E316" s="119">
        <f t="shared" ref="E316:F316" si="105">E317</f>
        <v>120</v>
      </c>
      <c r="F316" s="119">
        <f t="shared" si="105"/>
        <v>120</v>
      </c>
    </row>
    <row r="317" spans="1:14" ht="25.5" x14ac:dyDescent="0.25">
      <c r="A317" s="24" t="s">
        <v>226</v>
      </c>
      <c r="B317" s="75" t="s">
        <v>623</v>
      </c>
      <c r="C317" s="75" t="s">
        <v>59</v>
      </c>
      <c r="D317" s="119">
        <f>'ведомств. стр. 2025-2027'!G381</f>
        <v>120</v>
      </c>
      <c r="E317" s="119">
        <f>'ведомств. стр. 2025-2027'!H381</f>
        <v>120</v>
      </c>
      <c r="F317" s="119">
        <f>'ведомств. стр. 2025-2027'!I381</f>
        <v>120</v>
      </c>
    </row>
    <row r="318" spans="1:14" x14ac:dyDescent="0.25">
      <c r="A318" s="72" t="s">
        <v>791</v>
      </c>
      <c r="B318" s="73" t="s">
        <v>625</v>
      </c>
      <c r="C318" s="73"/>
      <c r="D318" s="116">
        <f>D319</f>
        <v>150</v>
      </c>
      <c r="E318" s="116">
        <f t="shared" ref="E318:F319" si="106">E319</f>
        <v>150</v>
      </c>
      <c r="F318" s="116">
        <f t="shared" si="106"/>
        <v>150</v>
      </c>
    </row>
    <row r="319" spans="1:14" x14ac:dyDescent="0.25">
      <c r="A319" s="24" t="s">
        <v>627</v>
      </c>
      <c r="B319" s="75" t="s">
        <v>626</v>
      </c>
      <c r="C319" s="75"/>
      <c r="D319" s="119">
        <f>D320</f>
        <v>150</v>
      </c>
      <c r="E319" s="119">
        <f t="shared" si="106"/>
        <v>150</v>
      </c>
      <c r="F319" s="119">
        <f t="shared" si="106"/>
        <v>150</v>
      </c>
    </row>
    <row r="320" spans="1:14" ht="25.5" x14ac:dyDescent="0.25">
      <c r="A320" s="24" t="s">
        <v>226</v>
      </c>
      <c r="B320" s="75" t="s">
        <v>626</v>
      </c>
      <c r="C320" s="75" t="s">
        <v>59</v>
      </c>
      <c r="D320" s="119">
        <f>'ведомств. стр. 2025-2027'!G384</f>
        <v>150</v>
      </c>
      <c r="E320" s="119">
        <f>'ведомств. стр. 2025-2027'!H384</f>
        <v>150</v>
      </c>
      <c r="F320" s="119">
        <f>'ведомств. стр. 2025-2027'!I384</f>
        <v>150</v>
      </c>
    </row>
    <row r="321" spans="1:14" s="4" customFormat="1" ht="25.5" x14ac:dyDescent="0.25">
      <c r="A321" s="72" t="s">
        <v>979</v>
      </c>
      <c r="B321" s="73" t="s">
        <v>978</v>
      </c>
      <c r="C321" s="73"/>
      <c r="D321" s="116">
        <f>D322</f>
        <v>3965</v>
      </c>
      <c r="E321" s="116">
        <f t="shared" ref="E321:F323" si="107">E322</f>
        <v>0</v>
      </c>
      <c r="F321" s="116">
        <f t="shared" si="107"/>
        <v>0</v>
      </c>
      <c r="L321" s="215"/>
      <c r="M321" s="215"/>
      <c r="N321" s="215"/>
    </row>
    <row r="322" spans="1:14" ht="51" x14ac:dyDescent="0.25">
      <c r="A322" s="24" t="s">
        <v>980</v>
      </c>
      <c r="B322" s="75" t="s">
        <v>981</v>
      </c>
      <c r="C322" s="75"/>
      <c r="D322" s="119">
        <f>D323</f>
        <v>3965</v>
      </c>
      <c r="E322" s="119">
        <f t="shared" si="107"/>
        <v>0</v>
      </c>
      <c r="F322" s="119">
        <f t="shared" si="107"/>
        <v>0</v>
      </c>
    </row>
    <row r="323" spans="1:14" ht="63.75" x14ac:dyDescent="0.25">
      <c r="A323" s="24" t="s">
        <v>983</v>
      </c>
      <c r="B323" s="75" t="s">
        <v>982</v>
      </c>
      <c r="C323" s="75"/>
      <c r="D323" s="119">
        <f>D324</f>
        <v>3965</v>
      </c>
      <c r="E323" s="119">
        <f t="shared" si="107"/>
        <v>0</v>
      </c>
      <c r="F323" s="119">
        <f t="shared" si="107"/>
        <v>0</v>
      </c>
    </row>
    <row r="324" spans="1:14" ht="25.5" x14ac:dyDescent="0.25">
      <c r="A324" s="24" t="s">
        <v>226</v>
      </c>
      <c r="B324" s="75" t="s">
        <v>982</v>
      </c>
      <c r="C324" s="75" t="s">
        <v>59</v>
      </c>
      <c r="D324" s="119">
        <f>'ведомств. стр. 2025-2027'!G924</f>
        <v>3965</v>
      </c>
      <c r="E324" s="119">
        <f>'ведомств. стр. 2025-2027'!H924</f>
        <v>0</v>
      </c>
      <c r="F324" s="119">
        <f>'ведомств. стр. 2025-2027'!I924</f>
        <v>0</v>
      </c>
    </row>
    <row r="325" spans="1:14" ht="27" x14ac:dyDescent="0.25">
      <c r="A325" s="112" t="s">
        <v>758</v>
      </c>
      <c r="B325" s="111" t="s">
        <v>538</v>
      </c>
      <c r="C325" s="111"/>
      <c r="D325" s="118">
        <f t="shared" ref="D325:F326" si="108">D326</f>
        <v>10491.9</v>
      </c>
      <c r="E325" s="118">
        <f t="shared" si="108"/>
        <v>10871.3</v>
      </c>
      <c r="F325" s="118">
        <f t="shared" si="108"/>
        <v>11291.6</v>
      </c>
    </row>
    <row r="326" spans="1:14" ht="24" customHeight="1" x14ac:dyDescent="0.25">
      <c r="A326" s="72" t="s">
        <v>793</v>
      </c>
      <c r="B326" s="73" t="s">
        <v>539</v>
      </c>
      <c r="C326" s="73"/>
      <c r="D326" s="116">
        <f t="shared" si="108"/>
        <v>10491.9</v>
      </c>
      <c r="E326" s="116">
        <f t="shared" si="108"/>
        <v>10871.3</v>
      </c>
      <c r="F326" s="116">
        <f t="shared" si="108"/>
        <v>11291.6</v>
      </c>
    </row>
    <row r="327" spans="1:14" x14ac:dyDescent="0.25">
      <c r="A327" s="24" t="s">
        <v>138</v>
      </c>
      <c r="B327" s="75" t="s">
        <v>540</v>
      </c>
      <c r="C327" s="75"/>
      <c r="D327" s="119">
        <f>D328+D329</f>
        <v>10491.9</v>
      </c>
      <c r="E327" s="119">
        <f t="shared" ref="E327:F327" si="109">E328+E329</f>
        <v>10871.3</v>
      </c>
      <c r="F327" s="119">
        <f t="shared" si="109"/>
        <v>11291.6</v>
      </c>
    </row>
    <row r="328" spans="1:14" ht="38.25" x14ac:dyDescent="0.25">
      <c r="A328" s="24" t="s">
        <v>225</v>
      </c>
      <c r="B328" s="75" t="s">
        <v>540</v>
      </c>
      <c r="C328" s="75" t="s">
        <v>66</v>
      </c>
      <c r="D328" s="119">
        <f>'ведомств. стр. 2025-2027'!G402</f>
        <v>10124.4</v>
      </c>
      <c r="E328" s="119">
        <f>'ведомств. стр. 2025-2027'!H402</f>
        <v>10528.4</v>
      </c>
      <c r="F328" s="119">
        <f>'ведомств. стр. 2025-2027'!I402</f>
        <v>10948.7</v>
      </c>
    </row>
    <row r="329" spans="1:14" ht="25.5" x14ac:dyDescent="0.25">
      <c r="A329" s="24" t="s">
        <v>226</v>
      </c>
      <c r="B329" s="75" t="s">
        <v>540</v>
      </c>
      <c r="C329" s="75" t="s">
        <v>59</v>
      </c>
      <c r="D329" s="119">
        <f>'ведомств. стр. 2025-2027'!G403</f>
        <v>367.5</v>
      </c>
      <c r="E329" s="119">
        <f>'ведомств. стр. 2025-2027'!H403</f>
        <v>342.9</v>
      </c>
      <c r="F329" s="119">
        <f>'ведомств. стр. 2025-2027'!I403</f>
        <v>342.9</v>
      </c>
    </row>
    <row r="330" spans="1:14" s="97" customFormat="1" ht="12.75" x14ac:dyDescent="0.2">
      <c r="A330" s="81" t="s">
        <v>545</v>
      </c>
      <c r="B330" s="80" t="s">
        <v>173</v>
      </c>
      <c r="C330" s="80"/>
      <c r="D330" s="117">
        <f>D331+D353+D347</f>
        <v>9339.9</v>
      </c>
      <c r="E330" s="117">
        <f>E331+E353+E347</f>
        <v>9296</v>
      </c>
      <c r="F330" s="117">
        <f>F331+F353+F347</f>
        <v>9575.0999999999985</v>
      </c>
      <c r="I330" s="195"/>
      <c r="J330" s="195"/>
      <c r="K330" s="195"/>
      <c r="L330" s="213"/>
      <c r="M330" s="213"/>
      <c r="N330" s="213"/>
    </row>
    <row r="331" spans="1:14" s="97" customFormat="1" ht="13.5" x14ac:dyDescent="0.2">
      <c r="A331" s="112" t="s">
        <v>745</v>
      </c>
      <c r="B331" s="111" t="s">
        <v>174</v>
      </c>
      <c r="C331" s="111"/>
      <c r="D331" s="118">
        <f>D332+D341+D344</f>
        <v>1213.8</v>
      </c>
      <c r="E331" s="118">
        <f>E332+E341+E344</f>
        <v>901.6</v>
      </c>
      <c r="F331" s="118">
        <f>F332+F341+F344</f>
        <v>901.6</v>
      </c>
      <c r="L331" s="213"/>
      <c r="M331" s="213"/>
      <c r="N331" s="213"/>
    </row>
    <row r="332" spans="1:14" s="97" customFormat="1" ht="29.25" customHeight="1" x14ac:dyDescent="0.2">
      <c r="A332" s="72" t="s">
        <v>746</v>
      </c>
      <c r="B332" s="73" t="s">
        <v>182</v>
      </c>
      <c r="C332" s="73"/>
      <c r="D332" s="116">
        <f>D333+D337+D339+D335</f>
        <v>717.8</v>
      </c>
      <c r="E332" s="116">
        <f>E333+E337+E339+E335</f>
        <v>405.6</v>
      </c>
      <c r="F332" s="116">
        <f>F333+F337+F339+F335</f>
        <v>405.6</v>
      </c>
      <c r="L332" s="213"/>
      <c r="M332" s="213"/>
      <c r="N332" s="213"/>
    </row>
    <row r="333" spans="1:14" s="97" customFormat="1" ht="12.75" x14ac:dyDescent="0.2">
      <c r="A333" s="24" t="s">
        <v>183</v>
      </c>
      <c r="B333" s="75" t="s">
        <v>273</v>
      </c>
      <c r="C333" s="75"/>
      <c r="D333" s="119">
        <f>D334</f>
        <v>146.30000000000001</v>
      </c>
      <c r="E333" s="119">
        <f>E334</f>
        <v>146.30000000000001</v>
      </c>
      <c r="F333" s="119">
        <f>F334</f>
        <v>146.30000000000001</v>
      </c>
      <c r="L333" s="213"/>
      <c r="M333" s="213"/>
      <c r="N333" s="213"/>
    </row>
    <row r="334" spans="1:14" s="97" customFormat="1" ht="25.5" x14ac:dyDescent="0.2">
      <c r="A334" s="24" t="s">
        <v>226</v>
      </c>
      <c r="B334" s="75" t="s">
        <v>273</v>
      </c>
      <c r="C334" s="75" t="s">
        <v>59</v>
      </c>
      <c r="D334" s="119">
        <f>'ведомств. стр. 2025-2027'!G743</f>
        <v>146.30000000000001</v>
      </c>
      <c r="E334" s="119">
        <f>'ведомств. стр. 2025-2027'!H743</f>
        <v>146.30000000000001</v>
      </c>
      <c r="F334" s="119">
        <f>'ведомств. стр. 2025-2027'!I743</f>
        <v>146.30000000000001</v>
      </c>
      <c r="L334" s="213"/>
      <c r="M334" s="213"/>
      <c r="N334" s="213"/>
    </row>
    <row r="335" spans="1:14" s="97" customFormat="1" ht="12.75" x14ac:dyDescent="0.2">
      <c r="A335" s="24" t="s">
        <v>274</v>
      </c>
      <c r="B335" s="75" t="s">
        <v>275</v>
      </c>
      <c r="C335" s="75"/>
      <c r="D335" s="119">
        <f>D336</f>
        <v>450.5</v>
      </c>
      <c r="E335" s="119">
        <f>E336</f>
        <v>138.30000000000001</v>
      </c>
      <c r="F335" s="119">
        <f>F336</f>
        <v>138.30000000000001</v>
      </c>
      <c r="L335" s="213"/>
      <c r="M335" s="213"/>
      <c r="N335" s="213"/>
    </row>
    <row r="336" spans="1:14" s="97" customFormat="1" ht="25.5" x14ac:dyDescent="0.2">
      <c r="A336" s="24" t="s">
        <v>226</v>
      </c>
      <c r="B336" s="75" t="s">
        <v>275</v>
      </c>
      <c r="C336" s="75" t="s">
        <v>59</v>
      </c>
      <c r="D336" s="119">
        <f>'ведомств. стр. 2025-2027'!G745</f>
        <v>450.5</v>
      </c>
      <c r="E336" s="119">
        <f>'ведомств. стр. 2025-2027'!H745</f>
        <v>138.30000000000001</v>
      </c>
      <c r="F336" s="119">
        <f>'ведомств. стр. 2025-2027'!I745</f>
        <v>138.30000000000001</v>
      </c>
      <c r="L336" s="213"/>
      <c r="M336" s="213"/>
      <c r="N336" s="213"/>
    </row>
    <row r="337" spans="1:14" s="97" customFormat="1" ht="25.5" x14ac:dyDescent="0.2">
      <c r="A337" s="24" t="s">
        <v>176</v>
      </c>
      <c r="B337" s="75" t="s">
        <v>276</v>
      </c>
      <c r="C337" s="75"/>
      <c r="D337" s="119">
        <f>D338</f>
        <v>40</v>
      </c>
      <c r="E337" s="119">
        <f>E338</f>
        <v>40</v>
      </c>
      <c r="F337" s="119">
        <f>F338</f>
        <v>40</v>
      </c>
      <c r="L337" s="213"/>
      <c r="M337" s="213"/>
      <c r="N337" s="213"/>
    </row>
    <row r="338" spans="1:14" s="97" customFormat="1" ht="25.5" x14ac:dyDescent="0.2">
      <c r="A338" s="24" t="s">
        <v>226</v>
      </c>
      <c r="B338" s="75" t="s">
        <v>276</v>
      </c>
      <c r="C338" s="75" t="s">
        <v>59</v>
      </c>
      <c r="D338" s="119">
        <f>'ведомств. стр. 2025-2027'!G747</f>
        <v>40</v>
      </c>
      <c r="E338" s="119">
        <f>'ведомств. стр. 2025-2027'!H747</f>
        <v>40</v>
      </c>
      <c r="F338" s="119">
        <f>'ведомств. стр. 2025-2027'!I747</f>
        <v>40</v>
      </c>
      <c r="L338" s="213"/>
      <c r="M338" s="213"/>
      <c r="N338" s="213"/>
    </row>
    <row r="339" spans="1:14" s="97" customFormat="1" ht="25.5" x14ac:dyDescent="0.2">
      <c r="A339" s="24" t="s">
        <v>177</v>
      </c>
      <c r="B339" s="75" t="s">
        <v>277</v>
      </c>
      <c r="C339" s="75"/>
      <c r="D339" s="119">
        <f>D340</f>
        <v>81</v>
      </c>
      <c r="E339" s="119">
        <f>E340</f>
        <v>81</v>
      </c>
      <c r="F339" s="119">
        <f>F340</f>
        <v>81</v>
      </c>
      <c r="L339" s="213"/>
      <c r="M339" s="213"/>
      <c r="N339" s="213"/>
    </row>
    <row r="340" spans="1:14" s="97" customFormat="1" ht="25.5" x14ac:dyDescent="0.2">
      <c r="A340" s="24" t="s">
        <v>226</v>
      </c>
      <c r="B340" s="75" t="s">
        <v>277</v>
      </c>
      <c r="C340" s="75" t="s">
        <v>59</v>
      </c>
      <c r="D340" s="119">
        <f>'ведомств. стр. 2025-2027'!G749</f>
        <v>81</v>
      </c>
      <c r="E340" s="119">
        <f>'ведомств. стр. 2025-2027'!H749</f>
        <v>81</v>
      </c>
      <c r="F340" s="119">
        <f>'ведомств. стр. 2025-2027'!I749</f>
        <v>81</v>
      </c>
      <c r="L340" s="213"/>
      <c r="M340" s="213"/>
      <c r="N340" s="213"/>
    </row>
    <row r="341" spans="1:14" s="97" customFormat="1" ht="12.75" x14ac:dyDescent="0.2">
      <c r="A341" s="72" t="s">
        <v>747</v>
      </c>
      <c r="B341" s="73" t="s">
        <v>178</v>
      </c>
      <c r="C341" s="73"/>
      <c r="D341" s="116">
        <f t="shared" ref="D341:F342" si="110">D342</f>
        <v>396</v>
      </c>
      <c r="E341" s="116">
        <f t="shared" si="110"/>
        <v>396</v>
      </c>
      <c r="F341" s="116">
        <f t="shared" si="110"/>
        <v>396</v>
      </c>
      <c r="L341" s="213"/>
      <c r="M341" s="213"/>
      <c r="N341" s="213"/>
    </row>
    <row r="342" spans="1:14" s="97" customFormat="1" ht="25.5" x14ac:dyDescent="0.2">
      <c r="A342" s="24" t="s">
        <v>678</v>
      </c>
      <c r="B342" s="75" t="s">
        <v>278</v>
      </c>
      <c r="C342" s="75"/>
      <c r="D342" s="119">
        <f t="shared" si="110"/>
        <v>396</v>
      </c>
      <c r="E342" s="119">
        <f t="shared" si="110"/>
        <v>396</v>
      </c>
      <c r="F342" s="119">
        <f t="shared" si="110"/>
        <v>396</v>
      </c>
      <c r="L342" s="213"/>
      <c r="M342" s="213"/>
      <c r="N342" s="213"/>
    </row>
    <row r="343" spans="1:14" s="97" customFormat="1" ht="25.5" x14ac:dyDescent="0.2">
      <c r="A343" s="24" t="s">
        <v>226</v>
      </c>
      <c r="B343" s="75" t="s">
        <v>278</v>
      </c>
      <c r="C343" s="75" t="s">
        <v>59</v>
      </c>
      <c r="D343" s="119">
        <f>'ведомств. стр. 2025-2027'!G752</f>
        <v>396</v>
      </c>
      <c r="E343" s="119">
        <f>'ведомств. стр. 2025-2027'!H752</f>
        <v>396</v>
      </c>
      <c r="F343" s="119">
        <f>'ведомств. стр. 2025-2027'!I752</f>
        <v>396</v>
      </c>
      <c r="L343" s="213"/>
      <c r="M343" s="213"/>
      <c r="N343" s="213"/>
    </row>
    <row r="344" spans="1:14" s="97" customFormat="1" ht="39.75" customHeight="1" x14ac:dyDescent="0.2">
      <c r="A344" s="72" t="s">
        <v>748</v>
      </c>
      <c r="B344" s="73" t="s">
        <v>179</v>
      </c>
      <c r="C344" s="73"/>
      <c r="D344" s="116">
        <f>D345</f>
        <v>100</v>
      </c>
      <c r="E344" s="116">
        <f t="shared" ref="E344:F344" si="111">E345</f>
        <v>100</v>
      </c>
      <c r="F344" s="116">
        <f t="shared" si="111"/>
        <v>100</v>
      </c>
      <c r="L344" s="213"/>
      <c r="M344" s="213"/>
      <c r="N344" s="213"/>
    </row>
    <row r="345" spans="1:14" s="97" customFormat="1" ht="38.25" x14ac:dyDescent="0.2">
      <c r="A345" s="24" t="s">
        <v>311</v>
      </c>
      <c r="B345" s="75" t="s">
        <v>283</v>
      </c>
      <c r="C345" s="75"/>
      <c r="D345" s="119">
        <f>D346</f>
        <v>100</v>
      </c>
      <c r="E345" s="119">
        <f>E346</f>
        <v>100</v>
      </c>
      <c r="F345" s="119">
        <f>F346</f>
        <v>100</v>
      </c>
      <c r="L345" s="213"/>
      <c r="M345" s="213"/>
      <c r="N345" s="213"/>
    </row>
    <row r="346" spans="1:14" s="97" customFormat="1" ht="25.5" x14ac:dyDescent="0.2">
      <c r="A346" s="24" t="s">
        <v>64</v>
      </c>
      <c r="B346" s="75" t="s">
        <v>283</v>
      </c>
      <c r="C346" s="75" t="s">
        <v>65</v>
      </c>
      <c r="D346" s="119">
        <f>'ведомств. стр. 2025-2027'!G755</f>
        <v>100</v>
      </c>
      <c r="E346" s="119">
        <f>'ведомств. стр. 2025-2027'!H755</f>
        <v>100</v>
      </c>
      <c r="F346" s="119">
        <f>'ведомств. стр. 2025-2027'!I755</f>
        <v>100</v>
      </c>
      <c r="L346" s="213"/>
      <c r="M346" s="213"/>
      <c r="N346" s="213"/>
    </row>
    <row r="347" spans="1:14" s="97" customFormat="1" ht="27" x14ac:dyDescent="0.2">
      <c r="A347" s="164" t="s">
        <v>749</v>
      </c>
      <c r="B347" s="111" t="s">
        <v>180</v>
      </c>
      <c r="C347" s="111"/>
      <c r="D347" s="118">
        <f t="shared" ref="D347:F348" si="112">D348</f>
        <v>7972.8</v>
      </c>
      <c r="E347" s="118">
        <f t="shared" si="112"/>
        <v>8241.1</v>
      </c>
      <c r="F347" s="118">
        <f t="shared" si="112"/>
        <v>8520.1999999999989</v>
      </c>
      <c r="L347" s="213"/>
      <c r="M347" s="213"/>
      <c r="N347" s="213"/>
    </row>
    <row r="348" spans="1:14" s="97" customFormat="1" ht="25.5" x14ac:dyDescent="0.2">
      <c r="A348" s="23" t="s">
        <v>750</v>
      </c>
      <c r="B348" s="75" t="s">
        <v>181</v>
      </c>
      <c r="C348" s="75"/>
      <c r="D348" s="119">
        <f t="shared" si="112"/>
        <v>7972.8</v>
      </c>
      <c r="E348" s="119">
        <f t="shared" si="112"/>
        <v>8241.1</v>
      </c>
      <c r="F348" s="119">
        <f t="shared" si="112"/>
        <v>8520.1999999999989</v>
      </c>
      <c r="L348" s="213"/>
      <c r="M348" s="213"/>
      <c r="N348" s="213"/>
    </row>
    <row r="349" spans="1:14" s="97" customFormat="1" ht="12.75" x14ac:dyDescent="0.2">
      <c r="A349" s="23" t="s">
        <v>240</v>
      </c>
      <c r="B349" s="75" t="s">
        <v>282</v>
      </c>
      <c r="C349" s="75"/>
      <c r="D349" s="119">
        <f>D350+D351+D352</f>
        <v>7972.8</v>
      </c>
      <c r="E349" s="119">
        <f>E350+E351+E352</f>
        <v>8241.1</v>
      </c>
      <c r="F349" s="119">
        <f>F350+F351+F352</f>
        <v>8520.1999999999989</v>
      </c>
      <c r="L349" s="213"/>
      <c r="M349" s="213"/>
      <c r="N349" s="213"/>
    </row>
    <row r="350" spans="1:14" s="97" customFormat="1" ht="38.25" x14ac:dyDescent="0.2">
      <c r="A350" s="24" t="s">
        <v>225</v>
      </c>
      <c r="B350" s="75" t="s">
        <v>282</v>
      </c>
      <c r="C350" s="75" t="s">
        <v>66</v>
      </c>
      <c r="D350" s="119">
        <f>'ведомств. стр. 2025-2027'!G759</f>
        <v>6363.6</v>
      </c>
      <c r="E350" s="119">
        <f>'ведомств. стр. 2025-2027'!H759</f>
        <v>6618.2</v>
      </c>
      <c r="F350" s="119">
        <f>'ведомств. стр. 2025-2027'!I759</f>
        <v>6882.9</v>
      </c>
      <c r="L350" s="213"/>
      <c r="M350" s="213"/>
      <c r="N350" s="213"/>
    </row>
    <row r="351" spans="1:14" s="97" customFormat="1" ht="25.5" x14ac:dyDescent="0.2">
      <c r="A351" s="24" t="s">
        <v>226</v>
      </c>
      <c r="B351" s="75" t="s">
        <v>282</v>
      </c>
      <c r="C351" s="75" t="s">
        <v>59</v>
      </c>
      <c r="D351" s="119">
        <f>'ведомств. стр. 2025-2027'!G760</f>
        <v>1603.2</v>
      </c>
      <c r="E351" s="119">
        <f>'ведомств. стр. 2025-2027'!H760</f>
        <v>1616.9</v>
      </c>
      <c r="F351" s="119">
        <f>'ведомств. стр. 2025-2027'!I760</f>
        <v>1631.3</v>
      </c>
      <c r="L351" s="213"/>
      <c r="M351" s="213"/>
      <c r="N351" s="213"/>
    </row>
    <row r="352" spans="1:14" s="97" customFormat="1" ht="18.75" customHeight="1" x14ac:dyDescent="0.2">
      <c r="A352" s="24" t="s">
        <v>95</v>
      </c>
      <c r="B352" s="75" t="s">
        <v>282</v>
      </c>
      <c r="C352" s="75" t="s">
        <v>62</v>
      </c>
      <c r="D352" s="119">
        <f>'ведомств. стр. 2025-2027'!G761</f>
        <v>6</v>
      </c>
      <c r="E352" s="119">
        <f>'ведомств. стр. 2025-2027'!H761</f>
        <v>6</v>
      </c>
      <c r="F352" s="119">
        <f>'ведомств. стр. 2025-2027'!I761</f>
        <v>6</v>
      </c>
      <c r="L352" s="213"/>
      <c r="M352" s="213"/>
      <c r="N352" s="213"/>
    </row>
    <row r="353" spans="1:14" s="97" customFormat="1" ht="13.5" x14ac:dyDescent="0.2">
      <c r="A353" s="112" t="s">
        <v>751</v>
      </c>
      <c r="B353" s="111" t="s">
        <v>279</v>
      </c>
      <c r="C353" s="111"/>
      <c r="D353" s="118">
        <f t="shared" ref="D353:F355" si="113">D354</f>
        <v>153.30000000000001</v>
      </c>
      <c r="E353" s="118">
        <f t="shared" si="113"/>
        <v>153.30000000000001</v>
      </c>
      <c r="F353" s="118">
        <f t="shared" si="113"/>
        <v>153.30000000000001</v>
      </c>
      <c r="L353" s="213"/>
      <c r="M353" s="213"/>
      <c r="N353" s="213"/>
    </row>
    <row r="354" spans="1:14" s="97" customFormat="1" ht="25.5" x14ac:dyDescent="0.2">
      <c r="A354" s="72" t="s">
        <v>752</v>
      </c>
      <c r="B354" s="73" t="s">
        <v>280</v>
      </c>
      <c r="C354" s="73"/>
      <c r="D354" s="116">
        <f t="shared" si="113"/>
        <v>153.30000000000001</v>
      </c>
      <c r="E354" s="116">
        <f t="shared" si="113"/>
        <v>153.30000000000001</v>
      </c>
      <c r="F354" s="116">
        <f t="shared" si="113"/>
        <v>153.30000000000001</v>
      </c>
      <c r="L354" s="213"/>
      <c r="M354" s="213"/>
      <c r="N354" s="213"/>
    </row>
    <row r="355" spans="1:14" s="97" customFormat="1" ht="25.5" x14ac:dyDescent="0.2">
      <c r="A355" s="24" t="s">
        <v>175</v>
      </c>
      <c r="B355" s="75" t="s">
        <v>281</v>
      </c>
      <c r="C355" s="75"/>
      <c r="D355" s="119">
        <f t="shared" si="113"/>
        <v>153.30000000000001</v>
      </c>
      <c r="E355" s="119">
        <f t="shared" si="113"/>
        <v>153.30000000000001</v>
      </c>
      <c r="F355" s="119">
        <f t="shared" si="113"/>
        <v>153.30000000000001</v>
      </c>
      <c r="L355" s="213"/>
      <c r="M355" s="213"/>
      <c r="N355" s="213"/>
    </row>
    <row r="356" spans="1:14" s="97" customFormat="1" ht="25.5" x14ac:dyDescent="0.2">
      <c r="A356" s="24" t="s">
        <v>226</v>
      </c>
      <c r="B356" s="75" t="s">
        <v>281</v>
      </c>
      <c r="C356" s="75" t="s">
        <v>59</v>
      </c>
      <c r="D356" s="119">
        <f>'ведомств. стр. 2025-2027'!G765</f>
        <v>153.30000000000001</v>
      </c>
      <c r="E356" s="119">
        <f>'ведомств. стр. 2025-2027'!H765</f>
        <v>153.30000000000001</v>
      </c>
      <c r="F356" s="119">
        <f>'ведомств. стр. 2025-2027'!I765</f>
        <v>153.30000000000001</v>
      </c>
      <c r="L356" s="213"/>
      <c r="M356" s="213"/>
      <c r="N356" s="213"/>
    </row>
    <row r="357" spans="1:14" s="97" customFormat="1" ht="25.5" x14ac:dyDescent="0.2">
      <c r="A357" s="81" t="s">
        <v>477</v>
      </c>
      <c r="B357" s="80" t="s">
        <v>124</v>
      </c>
      <c r="C357" s="80"/>
      <c r="D357" s="117">
        <f>D358+D365</f>
        <v>350</v>
      </c>
      <c r="E357" s="117">
        <f>E358+E365</f>
        <v>350</v>
      </c>
      <c r="F357" s="117">
        <f>F358+F365</f>
        <v>350</v>
      </c>
      <c r="L357" s="213"/>
      <c r="M357" s="213"/>
      <c r="N357" s="213"/>
    </row>
    <row r="358" spans="1:14" s="97" customFormat="1" ht="12.75" x14ac:dyDescent="0.2">
      <c r="A358" s="72" t="s">
        <v>817</v>
      </c>
      <c r="B358" s="73" t="s">
        <v>125</v>
      </c>
      <c r="C358" s="73"/>
      <c r="D358" s="116">
        <f>D359+D361+D363</f>
        <v>200</v>
      </c>
      <c r="E358" s="116">
        <f>E359+E361+E363</f>
        <v>200</v>
      </c>
      <c r="F358" s="116">
        <f>F359+F361+F363</f>
        <v>200</v>
      </c>
      <c r="I358" s="195"/>
      <c r="J358" s="195"/>
      <c r="K358" s="195"/>
      <c r="L358" s="213"/>
      <c r="M358" s="213"/>
      <c r="N358" s="213"/>
    </row>
    <row r="359" spans="1:14" s="97" customFormat="1" ht="38.25" x14ac:dyDescent="0.2">
      <c r="A359" s="24" t="s">
        <v>479</v>
      </c>
      <c r="B359" s="75" t="s">
        <v>478</v>
      </c>
      <c r="C359" s="75"/>
      <c r="D359" s="119">
        <f>D360</f>
        <v>50</v>
      </c>
      <c r="E359" s="119">
        <f>E360</f>
        <v>50</v>
      </c>
      <c r="F359" s="119">
        <f>F360</f>
        <v>50</v>
      </c>
      <c r="L359" s="213"/>
      <c r="M359" s="213"/>
      <c r="N359" s="213"/>
    </row>
    <row r="360" spans="1:14" s="97" customFormat="1" ht="25.5" x14ac:dyDescent="0.2">
      <c r="A360" s="24" t="s">
        <v>226</v>
      </c>
      <c r="B360" s="75" t="s">
        <v>478</v>
      </c>
      <c r="C360" s="75" t="s">
        <v>59</v>
      </c>
      <c r="D360" s="119">
        <f>'ведомств. стр. 2025-2027'!G661</f>
        <v>50</v>
      </c>
      <c r="E360" s="119">
        <f>'ведомств. стр. 2025-2027'!H661</f>
        <v>50</v>
      </c>
      <c r="F360" s="119">
        <f>'ведомств. стр. 2025-2027'!I661</f>
        <v>50</v>
      </c>
      <c r="L360" s="213"/>
      <c r="M360" s="213"/>
      <c r="N360" s="213"/>
    </row>
    <row r="361" spans="1:14" s="97" customFormat="1" ht="47.25" customHeight="1" x14ac:dyDescent="0.2">
      <c r="A361" s="24" t="s">
        <v>481</v>
      </c>
      <c r="B361" s="75" t="s">
        <v>480</v>
      </c>
      <c r="C361" s="75"/>
      <c r="D361" s="119">
        <f>D362</f>
        <v>50</v>
      </c>
      <c r="E361" s="119">
        <f>E362</f>
        <v>50</v>
      </c>
      <c r="F361" s="119">
        <f>F362</f>
        <v>50</v>
      </c>
      <c r="L361" s="213"/>
      <c r="M361" s="213"/>
      <c r="N361" s="213"/>
    </row>
    <row r="362" spans="1:14" s="97" customFormat="1" ht="25.5" x14ac:dyDescent="0.2">
      <c r="A362" s="24" t="s">
        <v>226</v>
      </c>
      <c r="B362" s="75" t="s">
        <v>480</v>
      </c>
      <c r="C362" s="75" t="s">
        <v>59</v>
      </c>
      <c r="D362" s="119">
        <f>'ведомств. стр. 2025-2027'!G663</f>
        <v>50</v>
      </c>
      <c r="E362" s="119">
        <f>'ведомств. стр. 2025-2027'!H663</f>
        <v>50</v>
      </c>
      <c r="F362" s="119">
        <f>'ведомств. стр. 2025-2027'!I663</f>
        <v>50</v>
      </c>
      <c r="L362" s="213"/>
      <c r="M362" s="213"/>
      <c r="N362" s="213"/>
    </row>
    <row r="363" spans="1:14" s="97" customFormat="1" ht="51" x14ac:dyDescent="0.2">
      <c r="A363" s="24" t="s">
        <v>636</v>
      </c>
      <c r="B363" s="75" t="s">
        <v>336</v>
      </c>
      <c r="C363" s="75"/>
      <c r="D363" s="119">
        <f>D364</f>
        <v>100</v>
      </c>
      <c r="E363" s="119">
        <f>E364</f>
        <v>100</v>
      </c>
      <c r="F363" s="119">
        <f>F364</f>
        <v>100</v>
      </c>
      <c r="L363" s="213"/>
      <c r="M363" s="213"/>
      <c r="N363" s="213"/>
    </row>
    <row r="364" spans="1:14" s="97" customFormat="1" ht="25.5" x14ac:dyDescent="0.2">
      <c r="A364" s="24" t="s">
        <v>226</v>
      </c>
      <c r="B364" s="75" t="s">
        <v>336</v>
      </c>
      <c r="C364" s="75" t="s">
        <v>59</v>
      </c>
      <c r="D364" s="119">
        <f>'ведомств. стр. 2025-2027'!G665</f>
        <v>100</v>
      </c>
      <c r="E364" s="119">
        <f>'ведомств. стр. 2025-2027'!H665</f>
        <v>100</v>
      </c>
      <c r="F364" s="119">
        <f>'ведомств. стр. 2025-2027'!I665</f>
        <v>100</v>
      </c>
      <c r="L364" s="213"/>
      <c r="M364" s="213"/>
      <c r="N364" s="213"/>
    </row>
    <row r="365" spans="1:14" s="97" customFormat="1" ht="12.75" x14ac:dyDescent="0.2">
      <c r="A365" s="72" t="s">
        <v>818</v>
      </c>
      <c r="B365" s="73" t="s">
        <v>126</v>
      </c>
      <c r="C365" s="73"/>
      <c r="D365" s="116">
        <f>D366</f>
        <v>150</v>
      </c>
      <c r="E365" s="116">
        <f t="shared" ref="E365:F366" si="114">E366</f>
        <v>150</v>
      </c>
      <c r="F365" s="116">
        <f t="shared" si="114"/>
        <v>150</v>
      </c>
      <c r="L365" s="213"/>
      <c r="M365" s="213"/>
      <c r="N365" s="213"/>
    </row>
    <row r="366" spans="1:14" s="97" customFormat="1" ht="25.5" x14ac:dyDescent="0.2">
      <c r="A366" s="24" t="s">
        <v>127</v>
      </c>
      <c r="B366" s="75" t="s">
        <v>270</v>
      </c>
      <c r="C366" s="75"/>
      <c r="D366" s="119">
        <f>D367</f>
        <v>150</v>
      </c>
      <c r="E366" s="119">
        <f t="shared" si="114"/>
        <v>150</v>
      </c>
      <c r="F366" s="119">
        <f t="shared" si="114"/>
        <v>150</v>
      </c>
      <c r="L366" s="213"/>
      <c r="M366" s="213"/>
      <c r="N366" s="213"/>
    </row>
    <row r="367" spans="1:14" s="97" customFormat="1" ht="25.5" x14ac:dyDescent="0.2">
      <c r="A367" s="24" t="s">
        <v>226</v>
      </c>
      <c r="B367" s="75" t="s">
        <v>270</v>
      </c>
      <c r="C367" s="75" t="s">
        <v>59</v>
      </c>
      <c r="D367" s="119">
        <f>'ведомств. стр. 2025-2027'!G668</f>
        <v>150</v>
      </c>
      <c r="E367" s="119">
        <f>'ведомств. стр. 2025-2027'!H668</f>
        <v>150</v>
      </c>
      <c r="F367" s="119">
        <f>'ведомств. стр. 2025-2027'!I668</f>
        <v>150</v>
      </c>
      <c r="L367" s="213"/>
      <c r="M367" s="213"/>
      <c r="N367" s="213"/>
    </row>
    <row r="368" spans="1:14" s="96" customFormat="1" ht="12.75" x14ac:dyDescent="0.2">
      <c r="A368" s="81" t="s">
        <v>378</v>
      </c>
      <c r="B368" s="80" t="s">
        <v>194</v>
      </c>
      <c r="C368" s="80"/>
      <c r="D368" s="117">
        <f>D369+D373</f>
        <v>38247.399999999994</v>
      </c>
      <c r="E368" s="117">
        <f t="shared" ref="E368:F368" si="115">E369+E373</f>
        <v>135016.29999999999</v>
      </c>
      <c r="F368" s="117">
        <f t="shared" si="115"/>
        <v>199620.3</v>
      </c>
      <c r="I368" s="194"/>
      <c r="J368" s="194"/>
      <c r="K368" s="194"/>
      <c r="L368" s="210"/>
      <c r="M368" s="210"/>
      <c r="N368" s="210"/>
    </row>
    <row r="369" spans="1:14" s="96" customFormat="1" ht="13.5" x14ac:dyDescent="0.2">
      <c r="A369" s="112" t="s">
        <v>732</v>
      </c>
      <c r="B369" s="111" t="s">
        <v>384</v>
      </c>
      <c r="C369" s="111"/>
      <c r="D369" s="118">
        <f>D370</f>
        <v>10885</v>
      </c>
      <c r="E369" s="118">
        <f t="shared" ref="E369:F369" si="116">E370</f>
        <v>106742.3</v>
      </c>
      <c r="F369" s="118">
        <f t="shared" si="116"/>
        <v>170282</v>
      </c>
      <c r="L369" s="210"/>
      <c r="M369" s="210"/>
      <c r="N369" s="210"/>
    </row>
    <row r="370" spans="1:14" s="96" customFormat="1" ht="25.5" x14ac:dyDescent="0.2">
      <c r="A370" s="72" t="s">
        <v>733</v>
      </c>
      <c r="B370" s="73" t="s">
        <v>385</v>
      </c>
      <c r="C370" s="73"/>
      <c r="D370" s="116">
        <f t="shared" ref="D370:F371" si="117">D371</f>
        <v>10885</v>
      </c>
      <c r="E370" s="116">
        <f t="shared" si="117"/>
        <v>106742.3</v>
      </c>
      <c r="F370" s="116">
        <f t="shared" si="117"/>
        <v>170282</v>
      </c>
      <c r="L370" s="210"/>
      <c r="M370" s="210"/>
      <c r="N370" s="210"/>
    </row>
    <row r="371" spans="1:14" s="96" customFormat="1" ht="12.75" x14ac:dyDescent="0.2">
      <c r="A371" s="24" t="s">
        <v>201</v>
      </c>
      <c r="B371" s="75" t="s">
        <v>386</v>
      </c>
      <c r="C371" s="75"/>
      <c r="D371" s="119">
        <f t="shared" si="117"/>
        <v>10885</v>
      </c>
      <c r="E371" s="119">
        <f t="shared" si="117"/>
        <v>106742.3</v>
      </c>
      <c r="F371" s="119">
        <f t="shared" si="117"/>
        <v>170282</v>
      </c>
      <c r="L371" s="210"/>
      <c r="M371" s="210"/>
      <c r="N371" s="210"/>
    </row>
    <row r="372" spans="1:14" s="96" customFormat="1" ht="12.75" x14ac:dyDescent="0.2">
      <c r="A372" s="24" t="s">
        <v>315</v>
      </c>
      <c r="B372" s="75" t="s">
        <v>386</v>
      </c>
      <c r="C372" s="75" t="s">
        <v>202</v>
      </c>
      <c r="D372" s="119">
        <f>'ведомств. стр. 2025-2027'!G62</f>
        <v>10885</v>
      </c>
      <c r="E372" s="119">
        <f>'ведомств. стр. 2025-2027'!H62</f>
        <v>106742.3</v>
      </c>
      <c r="F372" s="119">
        <f>'ведомств. стр. 2025-2027'!I62</f>
        <v>170282</v>
      </c>
      <c r="L372" s="210"/>
      <c r="M372" s="210"/>
      <c r="N372" s="210"/>
    </row>
    <row r="373" spans="1:14" s="96" customFormat="1" ht="40.5" x14ac:dyDescent="0.2">
      <c r="A373" s="112" t="s">
        <v>842</v>
      </c>
      <c r="B373" s="111" t="s">
        <v>628</v>
      </c>
      <c r="C373" s="111"/>
      <c r="D373" s="118">
        <f>D374</f>
        <v>27362.399999999998</v>
      </c>
      <c r="E373" s="118">
        <f t="shared" ref="E373:F374" si="118">E374</f>
        <v>28274</v>
      </c>
      <c r="F373" s="118">
        <f t="shared" si="118"/>
        <v>29338.3</v>
      </c>
      <c r="L373" s="210"/>
      <c r="M373" s="210"/>
      <c r="N373" s="210"/>
    </row>
    <row r="374" spans="1:14" s="96" customFormat="1" ht="30" customHeight="1" x14ac:dyDescent="0.2">
      <c r="A374" s="72" t="s">
        <v>843</v>
      </c>
      <c r="B374" s="73" t="s">
        <v>629</v>
      </c>
      <c r="C374" s="73"/>
      <c r="D374" s="116">
        <f>D375</f>
        <v>27362.399999999998</v>
      </c>
      <c r="E374" s="116">
        <f t="shared" si="118"/>
        <v>28274</v>
      </c>
      <c r="F374" s="116">
        <f t="shared" si="118"/>
        <v>29338.3</v>
      </c>
      <c r="L374" s="210"/>
      <c r="M374" s="210"/>
      <c r="N374" s="210"/>
    </row>
    <row r="375" spans="1:14" s="96" customFormat="1" ht="12.75" x14ac:dyDescent="0.2">
      <c r="A375" s="24" t="s">
        <v>138</v>
      </c>
      <c r="B375" s="75" t="s">
        <v>647</v>
      </c>
      <c r="C375" s="75"/>
      <c r="D375" s="119">
        <f>SUM(D376:D378)</f>
        <v>27362.399999999998</v>
      </c>
      <c r="E375" s="119">
        <f t="shared" ref="E375:F375" si="119">SUM(E376:E378)</f>
        <v>28274</v>
      </c>
      <c r="F375" s="119">
        <f t="shared" si="119"/>
        <v>29338.3</v>
      </c>
      <c r="L375" s="210"/>
      <c r="M375" s="210"/>
      <c r="N375" s="210"/>
    </row>
    <row r="376" spans="1:14" s="96" customFormat="1" ht="38.25" x14ac:dyDescent="0.2">
      <c r="A376" s="24" t="s">
        <v>225</v>
      </c>
      <c r="B376" s="75" t="s">
        <v>647</v>
      </c>
      <c r="C376" s="75" t="s">
        <v>66</v>
      </c>
      <c r="D376" s="119">
        <f>'ведомств. стр. 2025-2027'!G31</f>
        <v>26047.3</v>
      </c>
      <c r="E376" s="119">
        <f>'ведомств. стр. 2025-2027'!H31</f>
        <v>27087.1</v>
      </c>
      <c r="F376" s="119">
        <f>'ведомств. стр. 2025-2027'!I31</f>
        <v>28169</v>
      </c>
      <c r="L376" s="210"/>
      <c r="M376" s="210"/>
      <c r="N376" s="210"/>
    </row>
    <row r="377" spans="1:14" s="96" customFormat="1" ht="25.5" x14ac:dyDescent="0.2">
      <c r="A377" s="24" t="s">
        <v>226</v>
      </c>
      <c r="B377" s="75" t="s">
        <v>647</v>
      </c>
      <c r="C377" s="75" t="s">
        <v>59</v>
      </c>
      <c r="D377" s="119">
        <f>'ведомств. стр. 2025-2027'!G32</f>
        <v>1245.0999999999999</v>
      </c>
      <c r="E377" s="119">
        <f>'ведомств. стр. 2025-2027'!H32</f>
        <v>1136.9000000000001</v>
      </c>
      <c r="F377" s="119">
        <f>'ведомств. стр. 2025-2027'!I32</f>
        <v>1119.3</v>
      </c>
      <c r="L377" s="210"/>
      <c r="M377" s="210"/>
      <c r="N377" s="210"/>
    </row>
    <row r="378" spans="1:14" s="96" customFormat="1" ht="12.75" x14ac:dyDescent="0.2">
      <c r="A378" s="24" t="s">
        <v>95</v>
      </c>
      <c r="B378" s="75" t="s">
        <v>647</v>
      </c>
      <c r="C378" s="75" t="s">
        <v>62</v>
      </c>
      <c r="D378" s="119">
        <f>'ведомств. стр. 2025-2027'!G33</f>
        <v>70</v>
      </c>
      <c r="E378" s="119">
        <f>'ведомств. стр. 2025-2027'!H33</f>
        <v>50</v>
      </c>
      <c r="F378" s="119">
        <f>'ведомств. стр. 2025-2027'!I33</f>
        <v>50</v>
      </c>
      <c r="L378" s="210"/>
      <c r="M378" s="210"/>
      <c r="N378" s="210"/>
    </row>
    <row r="379" spans="1:14" s="96" customFormat="1" ht="25.5" x14ac:dyDescent="0.2">
      <c r="A379" s="81" t="s">
        <v>512</v>
      </c>
      <c r="B379" s="80" t="s">
        <v>203</v>
      </c>
      <c r="C379" s="80"/>
      <c r="D379" s="117">
        <f>D380</f>
        <v>9766.5</v>
      </c>
      <c r="E379" s="117">
        <f t="shared" ref="E379:F379" si="120">E380</f>
        <v>9942</v>
      </c>
      <c r="F379" s="117">
        <f t="shared" si="120"/>
        <v>10154</v>
      </c>
      <c r="I379" s="194"/>
      <c r="J379" s="194"/>
      <c r="K379" s="194"/>
      <c r="L379" s="210"/>
      <c r="M379" s="210"/>
      <c r="N379" s="210"/>
    </row>
    <row r="380" spans="1:14" s="96" customFormat="1" ht="45" customHeight="1" x14ac:dyDescent="0.2">
      <c r="A380" s="72" t="s">
        <v>828</v>
      </c>
      <c r="B380" s="73" t="s">
        <v>514</v>
      </c>
      <c r="C380" s="73"/>
      <c r="D380" s="116">
        <f t="shared" ref="D380:F380" si="121">D381</f>
        <v>9766.5</v>
      </c>
      <c r="E380" s="116">
        <f t="shared" si="121"/>
        <v>9942</v>
      </c>
      <c r="F380" s="116">
        <f t="shared" si="121"/>
        <v>10154</v>
      </c>
      <c r="L380" s="210"/>
      <c r="M380" s="210"/>
      <c r="N380" s="210"/>
    </row>
    <row r="381" spans="1:14" s="96" customFormat="1" ht="25.5" x14ac:dyDescent="0.2">
      <c r="A381" s="24" t="s">
        <v>242</v>
      </c>
      <c r="B381" s="75" t="s">
        <v>515</v>
      </c>
      <c r="C381" s="75"/>
      <c r="D381" s="119">
        <f>D382+D384+D386+D388</f>
        <v>9766.5</v>
      </c>
      <c r="E381" s="119">
        <f>E382+E384+E386+E388</f>
        <v>9942</v>
      </c>
      <c r="F381" s="119">
        <f>F382+F384+F386+F388</f>
        <v>10154</v>
      </c>
      <c r="L381" s="210"/>
      <c r="M381" s="210"/>
      <c r="N381" s="210"/>
    </row>
    <row r="382" spans="1:14" s="96" customFormat="1" ht="38.25" x14ac:dyDescent="0.2">
      <c r="A382" s="24" t="s">
        <v>354</v>
      </c>
      <c r="B382" s="75" t="s">
        <v>516</v>
      </c>
      <c r="C382" s="75"/>
      <c r="D382" s="119">
        <f>D383</f>
        <v>6100.9</v>
      </c>
      <c r="E382" s="119">
        <f>E383</f>
        <v>6272.1</v>
      </c>
      <c r="F382" s="119">
        <f>F383</f>
        <v>6479.5</v>
      </c>
      <c r="L382" s="210"/>
      <c r="M382" s="210"/>
      <c r="N382" s="210"/>
    </row>
    <row r="383" spans="1:14" s="96" customFormat="1" ht="25.5" x14ac:dyDescent="0.2">
      <c r="A383" s="24" t="s">
        <v>64</v>
      </c>
      <c r="B383" s="75" t="s">
        <v>516</v>
      </c>
      <c r="C383" s="75" t="s">
        <v>65</v>
      </c>
      <c r="D383" s="119">
        <f>'ведомств. стр. 2025-2027'!G829</f>
        <v>6100.9</v>
      </c>
      <c r="E383" s="119">
        <f>'ведомств. стр. 2025-2027'!H829</f>
        <v>6272.1</v>
      </c>
      <c r="F383" s="119">
        <f>'ведомств. стр. 2025-2027'!I829</f>
        <v>6479.5</v>
      </c>
      <c r="L383" s="210"/>
      <c r="M383" s="210"/>
      <c r="N383" s="210"/>
    </row>
    <row r="384" spans="1:14" s="96" customFormat="1" ht="25.5" x14ac:dyDescent="0.2">
      <c r="A384" s="24" t="s">
        <v>353</v>
      </c>
      <c r="B384" s="75" t="s">
        <v>517</v>
      </c>
      <c r="C384" s="75"/>
      <c r="D384" s="119">
        <f>D385</f>
        <v>108.7</v>
      </c>
      <c r="E384" s="119">
        <f>E385</f>
        <v>113</v>
      </c>
      <c r="F384" s="119">
        <f>F385</f>
        <v>117.6</v>
      </c>
      <c r="L384" s="210"/>
      <c r="M384" s="210"/>
      <c r="N384" s="210"/>
    </row>
    <row r="385" spans="1:14" s="96" customFormat="1" ht="25.5" x14ac:dyDescent="0.2">
      <c r="A385" s="24" t="s">
        <v>64</v>
      </c>
      <c r="B385" s="75" t="s">
        <v>517</v>
      </c>
      <c r="C385" s="75" t="s">
        <v>65</v>
      </c>
      <c r="D385" s="119">
        <f>'ведомств. стр. 2025-2027'!G831</f>
        <v>108.7</v>
      </c>
      <c r="E385" s="119">
        <f>'ведомств. стр. 2025-2027'!H831</f>
        <v>113</v>
      </c>
      <c r="F385" s="119">
        <f>'ведомств. стр. 2025-2027'!I831</f>
        <v>117.6</v>
      </c>
      <c r="L385" s="210"/>
      <c r="M385" s="210"/>
      <c r="N385" s="210"/>
    </row>
    <row r="386" spans="1:14" s="96" customFormat="1" ht="25.5" x14ac:dyDescent="0.2">
      <c r="A386" s="24" t="s">
        <v>513</v>
      </c>
      <c r="B386" s="75" t="s">
        <v>518</v>
      </c>
      <c r="C386" s="75"/>
      <c r="D386" s="119">
        <f>D387</f>
        <v>18</v>
      </c>
      <c r="E386" s="119">
        <f>E387</f>
        <v>18</v>
      </c>
      <c r="F386" s="119">
        <f>F387</f>
        <v>18</v>
      </c>
      <c r="L386" s="210"/>
      <c r="M386" s="210"/>
      <c r="N386" s="210"/>
    </row>
    <row r="387" spans="1:14" s="96" customFormat="1" ht="25.5" x14ac:dyDescent="0.2">
      <c r="A387" s="24" t="s">
        <v>64</v>
      </c>
      <c r="B387" s="75" t="s">
        <v>518</v>
      </c>
      <c r="C387" s="75" t="s">
        <v>65</v>
      </c>
      <c r="D387" s="119">
        <f>'ведомств. стр. 2025-2027'!G833</f>
        <v>18</v>
      </c>
      <c r="E387" s="119">
        <f>'ведомств. стр. 2025-2027'!H833</f>
        <v>18</v>
      </c>
      <c r="F387" s="119">
        <f>'ведомств. стр. 2025-2027'!I833</f>
        <v>18</v>
      </c>
      <c r="H387" s="210"/>
      <c r="I387" s="210"/>
      <c r="J387" s="210"/>
      <c r="K387" s="210"/>
      <c r="L387" s="210"/>
      <c r="M387" s="210"/>
      <c r="N387" s="210"/>
    </row>
    <row r="388" spans="1:14" s="96" customFormat="1" ht="25.5" x14ac:dyDescent="0.2">
      <c r="A388" s="24" t="s">
        <v>355</v>
      </c>
      <c r="B388" s="75" t="s">
        <v>519</v>
      </c>
      <c r="C388" s="75"/>
      <c r="D388" s="119">
        <f>D389</f>
        <v>3538.9</v>
      </c>
      <c r="E388" s="119">
        <f>E389</f>
        <v>3538.9</v>
      </c>
      <c r="F388" s="119">
        <f>F389</f>
        <v>3538.9</v>
      </c>
      <c r="H388" s="210"/>
      <c r="I388" s="210"/>
      <c r="J388" s="210"/>
      <c r="K388" s="210"/>
      <c r="L388" s="210"/>
      <c r="M388" s="210"/>
      <c r="N388" s="210"/>
    </row>
    <row r="389" spans="1:14" s="96" customFormat="1" ht="25.5" x14ac:dyDescent="0.2">
      <c r="A389" s="24" t="s">
        <v>64</v>
      </c>
      <c r="B389" s="75" t="s">
        <v>519</v>
      </c>
      <c r="C389" s="75" t="s">
        <v>65</v>
      </c>
      <c r="D389" s="119">
        <f>'ведомств. стр. 2025-2027'!G835</f>
        <v>3538.9</v>
      </c>
      <c r="E389" s="119">
        <f>'ведомств. стр. 2025-2027'!H835</f>
        <v>3538.9</v>
      </c>
      <c r="F389" s="119">
        <f>'ведомств. стр. 2025-2027'!I835</f>
        <v>3538.9</v>
      </c>
      <c r="H389" s="210"/>
      <c r="I389" s="210"/>
      <c r="J389" s="210"/>
      <c r="K389" s="210"/>
      <c r="L389" s="210"/>
      <c r="M389" s="210"/>
      <c r="N389" s="210"/>
    </row>
    <row r="390" spans="1:14" s="82" customFormat="1" ht="33.75" customHeight="1" x14ac:dyDescent="0.25">
      <c r="A390" s="81" t="s">
        <v>550</v>
      </c>
      <c r="B390" s="80" t="s">
        <v>121</v>
      </c>
      <c r="C390" s="80"/>
      <c r="D390" s="117">
        <f>D391+D411+D445+D472</f>
        <v>1087485.0000000002</v>
      </c>
      <c r="E390" s="117">
        <f>E391+E411+E445+E472</f>
        <v>811919.3</v>
      </c>
      <c r="F390" s="117">
        <f>F391+F411+F445+F472</f>
        <v>908392.6</v>
      </c>
      <c r="H390" s="212"/>
      <c r="I390" s="216"/>
      <c r="J390" s="216"/>
      <c r="K390" s="216"/>
      <c r="L390" s="212"/>
      <c r="M390" s="212"/>
      <c r="N390" s="212"/>
    </row>
    <row r="391" spans="1:14" s="82" customFormat="1" x14ac:dyDescent="0.25">
      <c r="A391" s="112" t="s">
        <v>775</v>
      </c>
      <c r="B391" s="111" t="s">
        <v>184</v>
      </c>
      <c r="C391" s="111"/>
      <c r="D391" s="118">
        <f>D392+D396+D403+D408</f>
        <v>574924.90000000014</v>
      </c>
      <c r="E391" s="118">
        <f>E392+E396+E403+E408</f>
        <v>445319.4</v>
      </c>
      <c r="F391" s="118">
        <f>F392+F396+F403+F408</f>
        <v>444656.9</v>
      </c>
      <c r="G391" s="110"/>
      <c r="H391" s="217"/>
      <c r="I391" s="217"/>
      <c r="J391" s="212"/>
      <c r="K391" s="212"/>
      <c r="L391" s="212"/>
      <c r="M391" s="212"/>
      <c r="N391" s="212"/>
    </row>
    <row r="392" spans="1:14" s="82" customFormat="1" ht="31.5" customHeight="1" x14ac:dyDescent="0.25">
      <c r="A392" s="72" t="s">
        <v>829</v>
      </c>
      <c r="B392" s="73" t="s">
        <v>185</v>
      </c>
      <c r="C392" s="73"/>
      <c r="D392" s="203">
        <f>D393</f>
        <v>120989.30000000002</v>
      </c>
      <c r="E392" s="203">
        <f t="shared" ref="E392:F392" si="122">E393</f>
        <v>187411.9</v>
      </c>
      <c r="F392" s="203">
        <f t="shared" si="122"/>
        <v>164267.4</v>
      </c>
      <c r="H392" s="212"/>
      <c r="I392" s="212"/>
      <c r="J392" s="212"/>
      <c r="K392" s="212"/>
      <c r="L392" s="212"/>
      <c r="M392" s="212"/>
      <c r="N392" s="212"/>
    </row>
    <row r="393" spans="1:14" s="82" customFormat="1" ht="25.5" x14ac:dyDescent="0.25">
      <c r="A393" s="24" t="s">
        <v>552</v>
      </c>
      <c r="B393" s="75" t="s">
        <v>551</v>
      </c>
      <c r="C393" s="75"/>
      <c r="D393" s="119">
        <f>D394+D395</f>
        <v>120989.30000000002</v>
      </c>
      <c r="E393" s="119">
        <f t="shared" ref="E393:F393" si="123">E394+E395</f>
        <v>187411.9</v>
      </c>
      <c r="F393" s="119">
        <f t="shared" si="123"/>
        <v>164267.4</v>
      </c>
      <c r="H393" s="212"/>
      <c r="I393" s="212"/>
      <c r="J393" s="212"/>
      <c r="K393" s="212"/>
      <c r="L393" s="212"/>
      <c r="M393" s="212"/>
      <c r="N393" s="212"/>
    </row>
    <row r="394" spans="1:14" s="82" customFormat="1" ht="25.5" x14ac:dyDescent="0.25">
      <c r="A394" s="24" t="s">
        <v>226</v>
      </c>
      <c r="B394" s="75" t="s">
        <v>551</v>
      </c>
      <c r="C394" s="75" t="s">
        <v>59</v>
      </c>
      <c r="D394" s="119">
        <f>'ведомств. стр. 2025-2027'!G867</f>
        <v>115223.20000000001</v>
      </c>
      <c r="E394" s="119">
        <f>'ведомств. стр. 2025-2027'!H867</f>
        <v>187411.9</v>
      </c>
      <c r="F394" s="119">
        <f>'ведомств. стр. 2025-2027'!I867</f>
        <v>164267.4</v>
      </c>
      <c r="H394" s="212"/>
      <c r="I394" s="212"/>
      <c r="J394" s="212"/>
      <c r="K394" s="212"/>
      <c r="L394" s="212"/>
      <c r="M394" s="212"/>
      <c r="N394" s="212"/>
    </row>
    <row r="395" spans="1:14" s="82" customFormat="1" x14ac:dyDescent="0.25">
      <c r="A395" s="24" t="s">
        <v>227</v>
      </c>
      <c r="B395" s="75" t="s">
        <v>551</v>
      </c>
      <c r="C395" s="75" t="s">
        <v>193</v>
      </c>
      <c r="D395" s="119">
        <f>'ведомств. стр. 2025-2027'!G868</f>
        <v>5766.1</v>
      </c>
      <c r="E395" s="119">
        <f>'ведомств. стр. 2025-2027'!H868</f>
        <v>0</v>
      </c>
      <c r="F395" s="119">
        <f>'ведомств. стр. 2025-2027'!I868</f>
        <v>0</v>
      </c>
      <c r="H395" s="212"/>
      <c r="I395" s="212"/>
      <c r="J395" s="212"/>
      <c r="K395" s="212"/>
      <c r="L395" s="212"/>
      <c r="M395" s="212"/>
      <c r="N395" s="212"/>
    </row>
    <row r="396" spans="1:14" s="82" customFormat="1" x14ac:dyDescent="0.25">
      <c r="A396" s="72" t="s">
        <v>830</v>
      </c>
      <c r="B396" s="73" t="s">
        <v>186</v>
      </c>
      <c r="C396" s="73"/>
      <c r="D396" s="116">
        <f>D397+D400</f>
        <v>270708.40000000002</v>
      </c>
      <c r="E396" s="116">
        <f t="shared" ref="E396:F396" si="124">E397+E400</f>
        <v>52631.600000000006</v>
      </c>
      <c r="F396" s="116">
        <f t="shared" si="124"/>
        <v>75113.600000000006</v>
      </c>
      <c r="G396" s="155">
        <f>D396+D408</f>
        <v>450102.30000000005</v>
      </c>
      <c r="H396" s="155">
        <f t="shared" ref="H396:I396" si="125">E396+E408</f>
        <v>254651.80000000002</v>
      </c>
      <c r="I396" s="155">
        <f t="shared" si="125"/>
        <v>277133.80000000005</v>
      </c>
      <c r="J396" s="218"/>
      <c r="K396" s="212"/>
      <c r="L396" s="212"/>
      <c r="M396" s="212"/>
      <c r="N396" s="212"/>
    </row>
    <row r="397" spans="1:14" s="82" customFormat="1" ht="25.5" x14ac:dyDescent="0.25">
      <c r="A397" s="24" t="s">
        <v>552</v>
      </c>
      <c r="B397" s="75" t="s">
        <v>553</v>
      </c>
      <c r="C397" s="75"/>
      <c r="D397" s="119">
        <f>D398+D399</f>
        <v>46061.899999999994</v>
      </c>
      <c r="E397" s="119">
        <f t="shared" ref="E397:F397" si="126">E398+E399</f>
        <v>52631.600000000006</v>
      </c>
      <c r="F397" s="119">
        <f t="shared" si="126"/>
        <v>75113.600000000006</v>
      </c>
      <c r="H397" s="212"/>
      <c r="I397" s="212"/>
      <c r="J397" s="212"/>
      <c r="K397" s="212"/>
      <c r="L397" s="212"/>
      <c r="M397" s="212"/>
      <c r="N397" s="212"/>
    </row>
    <row r="398" spans="1:14" s="82" customFormat="1" ht="25.5" x14ac:dyDescent="0.25">
      <c r="A398" s="24" t="s">
        <v>226</v>
      </c>
      <c r="B398" s="75" t="s">
        <v>553</v>
      </c>
      <c r="C398" s="75" t="s">
        <v>59</v>
      </c>
      <c r="D398" s="119">
        <f>'ведомств. стр. 2025-2027'!G871</f>
        <v>43439.199999999997</v>
      </c>
      <c r="E398" s="119">
        <f>'ведомств. стр. 2025-2027'!H871</f>
        <v>52631.600000000006</v>
      </c>
      <c r="F398" s="119">
        <f>'ведомств. стр. 2025-2027'!I871</f>
        <v>75113.600000000006</v>
      </c>
      <c r="H398" s="212"/>
      <c r="I398" s="212"/>
      <c r="J398" s="212"/>
      <c r="K398" s="212"/>
      <c r="L398" s="212"/>
      <c r="M398" s="212"/>
      <c r="N398" s="212"/>
    </row>
    <row r="399" spans="1:14" s="82" customFormat="1" x14ac:dyDescent="0.25">
      <c r="A399" s="24" t="s">
        <v>227</v>
      </c>
      <c r="B399" s="75" t="s">
        <v>553</v>
      </c>
      <c r="C399" s="75" t="s">
        <v>193</v>
      </c>
      <c r="D399" s="119">
        <f>'ведомств. стр. 2025-2027'!G872</f>
        <v>2622.7000000000003</v>
      </c>
      <c r="E399" s="119">
        <f>'ведомств. стр. 2025-2027'!H872</f>
        <v>0</v>
      </c>
      <c r="F399" s="119">
        <f>'ведомств. стр. 2025-2027'!I872</f>
        <v>0</v>
      </c>
      <c r="H399" s="212"/>
      <c r="I399" s="212"/>
      <c r="J399" s="212"/>
      <c r="K399" s="212"/>
      <c r="L399" s="212"/>
      <c r="M399" s="212"/>
      <c r="N399" s="212"/>
    </row>
    <row r="400" spans="1:14" s="82" customFormat="1" ht="25.5" x14ac:dyDescent="0.25">
      <c r="A400" s="24" t="s">
        <v>554</v>
      </c>
      <c r="B400" s="75" t="s">
        <v>938</v>
      </c>
      <c r="C400" s="75"/>
      <c r="D400" s="119">
        <f>D401+D402</f>
        <v>224646.5</v>
      </c>
      <c r="E400" s="119">
        <f t="shared" ref="E400:F400" si="127">E401+E402</f>
        <v>0</v>
      </c>
      <c r="F400" s="119">
        <f t="shared" si="127"/>
        <v>0</v>
      </c>
      <c r="H400" s="212"/>
      <c r="I400" s="212"/>
      <c r="J400" s="212"/>
      <c r="K400" s="212"/>
      <c r="L400" s="212"/>
      <c r="M400" s="212"/>
      <c r="N400" s="212"/>
    </row>
    <row r="401" spans="1:14" s="82" customFormat="1" ht="25.5" x14ac:dyDescent="0.25">
      <c r="A401" s="24" t="s">
        <v>226</v>
      </c>
      <c r="B401" s="75" t="s">
        <v>938</v>
      </c>
      <c r="C401" s="75" t="s">
        <v>59</v>
      </c>
      <c r="D401" s="119">
        <f>'ведомств. стр. 2025-2027'!G874</f>
        <v>202020.2</v>
      </c>
      <c r="E401" s="119">
        <f>'ведомств. стр. 2025-2027'!H874</f>
        <v>0</v>
      </c>
      <c r="F401" s="119">
        <f>'ведомств. стр. 2025-2027'!I874</f>
        <v>0</v>
      </c>
      <c r="H401" s="212"/>
      <c r="I401" s="212"/>
      <c r="J401" s="212"/>
      <c r="K401" s="212"/>
      <c r="L401" s="212"/>
      <c r="M401" s="212"/>
      <c r="N401" s="212"/>
    </row>
    <row r="402" spans="1:14" s="82" customFormat="1" x14ac:dyDescent="0.25">
      <c r="A402" s="24" t="s">
        <v>227</v>
      </c>
      <c r="B402" s="75" t="s">
        <v>938</v>
      </c>
      <c r="C402" s="75" t="s">
        <v>193</v>
      </c>
      <c r="D402" s="119">
        <f>'ведомств. стр. 2025-2027'!G875</f>
        <v>22626.3</v>
      </c>
      <c r="E402" s="119">
        <f>'ведомств. стр. 2025-2027'!H875</f>
        <v>0</v>
      </c>
      <c r="F402" s="119">
        <f>'ведомств. стр. 2025-2027'!I875</f>
        <v>0</v>
      </c>
      <c r="H402" s="212"/>
      <c r="I402" s="212"/>
      <c r="J402" s="212"/>
      <c r="K402" s="212"/>
      <c r="L402" s="212"/>
      <c r="M402" s="212"/>
      <c r="N402" s="212"/>
    </row>
    <row r="403" spans="1:14" s="82" customFormat="1" ht="27" customHeight="1" x14ac:dyDescent="0.25">
      <c r="A403" s="72" t="s">
        <v>831</v>
      </c>
      <c r="B403" s="73" t="s">
        <v>599</v>
      </c>
      <c r="C403" s="73"/>
      <c r="D403" s="116">
        <f>D404+D406</f>
        <v>3833.3</v>
      </c>
      <c r="E403" s="116">
        <f t="shared" ref="E403:F403" si="128">E404+E406</f>
        <v>3255.7</v>
      </c>
      <c r="F403" s="116">
        <f t="shared" si="128"/>
        <v>3255.7</v>
      </c>
      <c r="L403" s="212"/>
      <c r="M403" s="212"/>
      <c r="N403" s="212"/>
    </row>
    <row r="404" spans="1:14" s="82" customFormat="1" ht="25.5" x14ac:dyDescent="0.25">
      <c r="A404" s="24" t="s">
        <v>555</v>
      </c>
      <c r="B404" s="75" t="s">
        <v>600</v>
      </c>
      <c r="C404" s="75"/>
      <c r="D404" s="119">
        <f>D405</f>
        <v>500</v>
      </c>
      <c r="E404" s="119">
        <f t="shared" ref="E404:F404" si="129">E405</f>
        <v>255.7</v>
      </c>
      <c r="F404" s="119">
        <f t="shared" si="129"/>
        <v>255.7</v>
      </c>
      <c r="L404" s="212"/>
      <c r="M404" s="212"/>
      <c r="N404" s="212"/>
    </row>
    <row r="405" spans="1:14" s="82" customFormat="1" ht="25.5" x14ac:dyDescent="0.25">
      <c r="A405" s="24" t="s">
        <v>226</v>
      </c>
      <c r="B405" s="75" t="s">
        <v>600</v>
      </c>
      <c r="C405" s="75" t="s">
        <v>59</v>
      </c>
      <c r="D405" s="119">
        <f>'ведомств. стр. 2025-2027'!G878</f>
        <v>500</v>
      </c>
      <c r="E405" s="119">
        <f>'ведомств. стр. 2025-2027'!H878</f>
        <v>255.7</v>
      </c>
      <c r="F405" s="119">
        <f>'ведомств. стр. 2025-2027'!I878</f>
        <v>255.7</v>
      </c>
      <c r="L405" s="212"/>
      <c r="M405" s="212"/>
      <c r="N405" s="212"/>
    </row>
    <row r="406" spans="1:14" s="82" customFormat="1" ht="25.5" x14ac:dyDescent="0.25">
      <c r="A406" s="24" t="s">
        <v>868</v>
      </c>
      <c r="B406" s="75" t="s">
        <v>869</v>
      </c>
      <c r="C406" s="75"/>
      <c r="D406" s="119">
        <f>D407</f>
        <v>3333.3</v>
      </c>
      <c r="E406" s="119">
        <f t="shared" ref="E406:F406" si="130">E407</f>
        <v>3000</v>
      </c>
      <c r="F406" s="119">
        <f t="shared" si="130"/>
        <v>3000</v>
      </c>
      <c r="L406" s="212"/>
      <c r="M406" s="212"/>
      <c r="N406" s="212"/>
    </row>
    <row r="407" spans="1:14" s="82" customFormat="1" ht="25.5" x14ac:dyDescent="0.25">
      <c r="A407" s="24" t="s">
        <v>226</v>
      </c>
      <c r="B407" s="75" t="s">
        <v>869</v>
      </c>
      <c r="C407" s="75" t="s">
        <v>59</v>
      </c>
      <c r="D407" s="119">
        <f>'ведомств. стр. 2025-2027'!G880</f>
        <v>3333.3</v>
      </c>
      <c r="E407" s="119">
        <f>'ведомств. стр. 2025-2027'!H880</f>
        <v>3000</v>
      </c>
      <c r="F407" s="119">
        <f>'ведомств. стр. 2025-2027'!I880</f>
        <v>3000</v>
      </c>
      <c r="L407" s="212"/>
      <c r="M407" s="212"/>
      <c r="N407" s="212"/>
    </row>
    <row r="408" spans="1:14" s="82" customFormat="1" ht="27" customHeight="1" x14ac:dyDescent="0.25">
      <c r="A408" s="72" t="s">
        <v>844</v>
      </c>
      <c r="B408" s="44" t="s">
        <v>939</v>
      </c>
      <c r="C408" s="44"/>
      <c r="D408" s="116">
        <f>D409</f>
        <v>179393.90000000002</v>
      </c>
      <c r="E408" s="116">
        <f t="shared" ref="E408:F409" si="131">E409</f>
        <v>202020.2</v>
      </c>
      <c r="F408" s="116">
        <f t="shared" si="131"/>
        <v>202020.2</v>
      </c>
      <c r="G408" s="6"/>
      <c r="L408" s="212"/>
      <c r="M408" s="212"/>
      <c r="N408" s="212"/>
    </row>
    <row r="409" spans="1:14" s="82" customFormat="1" ht="54.75" customHeight="1" x14ac:dyDescent="0.25">
      <c r="A409" s="24" t="s">
        <v>941</v>
      </c>
      <c r="B409" s="48" t="s">
        <v>940</v>
      </c>
      <c r="C409" s="48"/>
      <c r="D409" s="119">
        <f>D410</f>
        <v>179393.90000000002</v>
      </c>
      <c r="E409" s="119">
        <f t="shared" si="131"/>
        <v>202020.2</v>
      </c>
      <c r="F409" s="119">
        <f t="shared" si="131"/>
        <v>202020.2</v>
      </c>
      <c r="L409" s="212"/>
      <c r="M409" s="212"/>
      <c r="N409" s="212"/>
    </row>
    <row r="410" spans="1:14" s="82" customFormat="1" ht="25.5" x14ac:dyDescent="0.25">
      <c r="A410" s="24" t="s">
        <v>226</v>
      </c>
      <c r="B410" s="48" t="s">
        <v>940</v>
      </c>
      <c r="C410" s="48" t="s">
        <v>59</v>
      </c>
      <c r="D410" s="119">
        <f>'ведомств. стр. 2025-2027'!G883</f>
        <v>179393.90000000002</v>
      </c>
      <c r="E410" s="119">
        <f>'ведомств. стр. 2025-2027'!H883</f>
        <v>202020.2</v>
      </c>
      <c r="F410" s="119">
        <f>'ведомств. стр. 2025-2027'!I883</f>
        <v>202020.2</v>
      </c>
      <c r="L410" s="212"/>
      <c r="M410" s="212"/>
      <c r="N410" s="212"/>
    </row>
    <row r="411" spans="1:14" s="82" customFormat="1" x14ac:dyDescent="0.25">
      <c r="A411" s="112" t="s">
        <v>777</v>
      </c>
      <c r="B411" s="111" t="s">
        <v>187</v>
      </c>
      <c r="C411" s="111"/>
      <c r="D411" s="118">
        <f>D412+D428+D433+D438</f>
        <v>229391.6</v>
      </c>
      <c r="E411" s="118">
        <f>E412+E428+E433+E438</f>
        <v>237681.89999999997</v>
      </c>
      <c r="F411" s="118">
        <f>F412+F428+F433+F438</f>
        <v>317686</v>
      </c>
      <c r="L411" s="212"/>
      <c r="M411" s="212"/>
      <c r="N411" s="212"/>
    </row>
    <row r="412" spans="1:14" s="82" customFormat="1" x14ac:dyDescent="0.25">
      <c r="A412" s="72" t="s">
        <v>833</v>
      </c>
      <c r="B412" s="73" t="s">
        <v>351</v>
      </c>
      <c r="C412" s="73"/>
      <c r="D412" s="116">
        <f>D413+D415+D417+D419+D421+D426+D424</f>
        <v>91026.499999999985</v>
      </c>
      <c r="E412" s="116">
        <f t="shared" ref="E412:F412" si="132">E413+E415+E417+E419+E421+E426+E424</f>
        <v>99899.699999999983</v>
      </c>
      <c r="F412" s="116">
        <f t="shared" si="132"/>
        <v>122596.89999999998</v>
      </c>
      <c r="L412" s="212"/>
      <c r="M412" s="212"/>
      <c r="N412" s="212"/>
    </row>
    <row r="413" spans="1:14" s="82" customFormat="1" x14ac:dyDescent="0.25">
      <c r="A413" s="24" t="s">
        <v>188</v>
      </c>
      <c r="B413" s="75" t="s">
        <v>559</v>
      </c>
      <c r="C413" s="75"/>
      <c r="D413" s="119">
        <f>D414</f>
        <v>37400</v>
      </c>
      <c r="E413" s="119">
        <f t="shared" ref="E413:F413" si="133">E414</f>
        <v>58091.5</v>
      </c>
      <c r="F413" s="119">
        <f t="shared" si="133"/>
        <v>75412.5</v>
      </c>
      <c r="L413" s="212"/>
      <c r="M413" s="212"/>
      <c r="N413" s="212"/>
    </row>
    <row r="414" spans="1:14" s="82" customFormat="1" ht="25.5" x14ac:dyDescent="0.25">
      <c r="A414" s="24" t="s">
        <v>226</v>
      </c>
      <c r="B414" s="75" t="s">
        <v>559</v>
      </c>
      <c r="C414" s="75" t="s">
        <v>59</v>
      </c>
      <c r="D414" s="119">
        <f>'ведомств. стр. 2025-2027'!G929</f>
        <v>37400</v>
      </c>
      <c r="E414" s="119">
        <f>'ведомств. стр. 2025-2027'!H929</f>
        <v>58091.5</v>
      </c>
      <c r="F414" s="119">
        <f>'ведомств. стр. 2025-2027'!I929</f>
        <v>75412.5</v>
      </c>
      <c r="L414" s="212"/>
      <c r="M414" s="212"/>
      <c r="N414" s="212"/>
    </row>
    <row r="415" spans="1:14" s="82" customFormat="1" x14ac:dyDescent="0.25">
      <c r="A415" s="24" t="s">
        <v>189</v>
      </c>
      <c r="B415" s="75" t="s">
        <v>560</v>
      </c>
      <c r="C415" s="75"/>
      <c r="D415" s="119">
        <f>D416</f>
        <v>10317.700000000001</v>
      </c>
      <c r="E415" s="119">
        <f t="shared" ref="E415:F415" si="134">E416</f>
        <v>7318.3</v>
      </c>
      <c r="F415" s="119">
        <f t="shared" si="134"/>
        <v>15467.7</v>
      </c>
      <c r="L415" s="212"/>
      <c r="M415" s="212"/>
      <c r="N415" s="212"/>
    </row>
    <row r="416" spans="1:14" s="82" customFormat="1" ht="25.5" x14ac:dyDescent="0.25">
      <c r="A416" s="24" t="s">
        <v>226</v>
      </c>
      <c r="B416" s="75" t="s">
        <v>560</v>
      </c>
      <c r="C416" s="75" t="s">
        <v>59</v>
      </c>
      <c r="D416" s="119">
        <f>'ведомств. стр. 2025-2027'!G931</f>
        <v>10317.700000000001</v>
      </c>
      <c r="E416" s="119">
        <f>'ведомств. стр. 2025-2027'!H931</f>
        <v>7318.3</v>
      </c>
      <c r="F416" s="119">
        <f>'ведомств. стр. 2025-2027'!I931</f>
        <v>15467.7</v>
      </c>
      <c r="L416" s="212"/>
      <c r="M416" s="212"/>
      <c r="N416" s="212"/>
    </row>
    <row r="417" spans="1:14" s="82" customFormat="1" x14ac:dyDescent="0.25">
      <c r="A417" s="24" t="s">
        <v>190</v>
      </c>
      <c r="B417" s="75" t="s">
        <v>561</v>
      </c>
      <c r="C417" s="75"/>
      <c r="D417" s="119">
        <f>D418</f>
        <v>18005.899999999998</v>
      </c>
      <c r="E417" s="119">
        <f t="shared" ref="E417:F417" si="135">E418</f>
        <v>18162.599999999999</v>
      </c>
      <c r="F417" s="119">
        <f t="shared" si="135"/>
        <v>9375.2000000000007</v>
      </c>
      <c r="L417" s="212"/>
      <c r="M417" s="212"/>
      <c r="N417" s="212"/>
    </row>
    <row r="418" spans="1:14" s="82" customFormat="1" ht="25.5" x14ac:dyDescent="0.25">
      <c r="A418" s="24" t="s">
        <v>226</v>
      </c>
      <c r="B418" s="75" t="s">
        <v>561</v>
      </c>
      <c r="C418" s="75" t="s">
        <v>59</v>
      </c>
      <c r="D418" s="119">
        <f>'ведомств. стр. 2025-2027'!G933</f>
        <v>18005.899999999998</v>
      </c>
      <c r="E418" s="119">
        <f>'ведомств. стр. 2025-2027'!H933</f>
        <v>18162.599999999999</v>
      </c>
      <c r="F418" s="119">
        <f>'ведомств. стр. 2025-2027'!I933</f>
        <v>9375.2000000000007</v>
      </c>
      <c r="L418" s="212"/>
      <c r="M418" s="212"/>
      <c r="N418" s="212"/>
    </row>
    <row r="419" spans="1:14" s="82" customFormat="1" ht="25.5" x14ac:dyDescent="0.25">
      <c r="A419" s="24" t="s">
        <v>191</v>
      </c>
      <c r="B419" s="75" t="s">
        <v>557</v>
      </c>
      <c r="C419" s="75"/>
      <c r="D419" s="119">
        <f>D420</f>
        <v>600</v>
      </c>
      <c r="E419" s="119">
        <f>E420</f>
        <v>600</v>
      </c>
      <c r="F419" s="119">
        <f>F420</f>
        <v>1985.7</v>
      </c>
      <c r="L419" s="212"/>
      <c r="M419" s="212"/>
      <c r="N419" s="212"/>
    </row>
    <row r="420" spans="1:14" s="82" customFormat="1" ht="25.5" x14ac:dyDescent="0.25">
      <c r="A420" s="24" t="s">
        <v>226</v>
      </c>
      <c r="B420" s="75" t="s">
        <v>557</v>
      </c>
      <c r="C420" s="75" t="s">
        <v>59</v>
      </c>
      <c r="D420" s="119">
        <f>'ведомств. стр. 2025-2027'!G935</f>
        <v>600</v>
      </c>
      <c r="E420" s="119">
        <f>'ведомств. стр. 2025-2027'!H935</f>
        <v>600</v>
      </c>
      <c r="F420" s="119">
        <f>'ведомств. стр. 2025-2027'!I935</f>
        <v>1985.7</v>
      </c>
      <c r="L420" s="212"/>
      <c r="M420" s="212"/>
      <c r="N420" s="212"/>
    </row>
    <row r="421" spans="1:14" s="82" customFormat="1" x14ac:dyDescent="0.25">
      <c r="A421" s="24" t="s">
        <v>192</v>
      </c>
      <c r="B421" s="75" t="s">
        <v>558</v>
      </c>
      <c r="C421" s="75"/>
      <c r="D421" s="119">
        <f>D422+D423</f>
        <v>10895.5</v>
      </c>
      <c r="E421" s="119">
        <f t="shared" ref="E421:F421" si="136">E422+E423</f>
        <v>7902.9</v>
      </c>
      <c r="F421" s="119">
        <f t="shared" si="136"/>
        <v>5354.2</v>
      </c>
      <c r="L421" s="212"/>
      <c r="M421" s="212"/>
      <c r="N421" s="212"/>
    </row>
    <row r="422" spans="1:14" s="82" customFormat="1" ht="25.5" x14ac:dyDescent="0.25">
      <c r="A422" s="24" t="s">
        <v>226</v>
      </c>
      <c r="B422" s="75" t="s">
        <v>558</v>
      </c>
      <c r="C422" s="75" t="s">
        <v>59</v>
      </c>
      <c r="D422" s="119">
        <f>'ведомств. стр. 2025-2027'!G937</f>
        <v>10885.5</v>
      </c>
      <c r="E422" s="119">
        <f>'ведомств. стр. 2025-2027'!H937</f>
        <v>7902.9</v>
      </c>
      <c r="F422" s="119">
        <f>'ведомств. стр. 2025-2027'!I937</f>
        <v>5354.2</v>
      </c>
      <c r="L422" s="212"/>
      <c r="M422" s="212"/>
      <c r="N422" s="212"/>
    </row>
    <row r="423" spans="1:14" s="82" customFormat="1" x14ac:dyDescent="0.25">
      <c r="A423" s="24" t="s">
        <v>227</v>
      </c>
      <c r="B423" s="75" t="s">
        <v>558</v>
      </c>
      <c r="C423" s="75" t="s">
        <v>193</v>
      </c>
      <c r="D423" s="119">
        <f>'ведомств. стр. 2025-2027'!G938</f>
        <v>10</v>
      </c>
      <c r="E423" s="119">
        <f>'ведомств. стр. 2025-2027'!H938</f>
        <v>0</v>
      </c>
      <c r="F423" s="119">
        <f>'ведомств. стр. 2025-2027'!I938</f>
        <v>0</v>
      </c>
      <c r="L423" s="212"/>
      <c r="M423" s="212"/>
      <c r="N423" s="212"/>
    </row>
    <row r="424" spans="1:14" s="82" customFormat="1" x14ac:dyDescent="0.25">
      <c r="A424" s="24" t="s">
        <v>903</v>
      </c>
      <c r="B424" s="75" t="s">
        <v>898</v>
      </c>
      <c r="C424" s="75"/>
      <c r="D424" s="119">
        <f>D425</f>
        <v>7522.5</v>
      </c>
      <c r="E424" s="119">
        <f t="shared" ref="E424:F424" si="137">E425</f>
        <v>7824.4</v>
      </c>
      <c r="F424" s="119">
        <f t="shared" si="137"/>
        <v>8136.4</v>
      </c>
      <c r="L424" s="212"/>
      <c r="M424" s="212"/>
      <c r="N424" s="212"/>
    </row>
    <row r="425" spans="1:14" s="82" customFormat="1" ht="25.5" x14ac:dyDescent="0.25">
      <c r="A425" s="24" t="s">
        <v>226</v>
      </c>
      <c r="B425" s="75" t="s">
        <v>898</v>
      </c>
      <c r="C425" s="75" t="s">
        <v>59</v>
      </c>
      <c r="D425" s="119">
        <f>'ведомств. стр. 2025-2027'!G940</f>
        <v>7522.5</v>
      </c>
      <c r="E425" s="119">
        <f>'ведомств. стр. 2025-2027'!H940</f>
        <v>7824.4</v>
      </c>
      <c r="F425" s="119">
        <f>'ведомств. стр. 2025-2027'!I940</f>
        <v>8136.4</v>
      </c>
      <c r="L425" s="212"/>
      <c r="M425" s="212"/>
      <c r="N425" s="212"/>
    </row>
    <row r="426" spans="1:14" s="82" customFormat="1" x14ac:dyDescent="0.25">
      <c r="A426" s="24" t="s">
        <v>904</v>
      </c>
      <c r="B426" s="75" t="s">
        <v>874</v>
      </c>
      <c r="C426" s="75"/>
      <c r="D426" s="119">
        <f>D427</f>
        <v>6284.9</v>
      </c>
      <c r="E426" s="119">
        <f t="shared" ref="E426:F426" si="138">E427</f>
        <v>0</v>
      </c>
      <c r="F426" s="119">
        <f t="shared" si="138"/>
        <v>6865.2</v>
      </c>
      <c r="L426" s="212"/>
      <c r="M426" s="212"/>
      <c r="N426" s="212"/>
    </row>
    <row r="427" spans="1:14" s="82" customFormat="1" ht="25.5" x14ac:dyDescent="0.25">
      <c r="A427" s="24" t="s">
        <v>226</v>
      </c>
      <c r="B427" s="75" t="s">
        <v>874</v>
      </c>
      <c r="C427" s="75" t="s">
        <v>59</v>
      </c>
      <c r="D427" s="119">
        <f>'ведомств. стр. 2025-2027'!G942</f>
        <v>6284.9</v>
      </c>
      <c r="E427" s="119">
        <f>'ведомств. стр. 2025-2027'!H942</f>
        <v>0</v>
      </c>
      <c r="F427" s="119">
        <f>'ведомств. стр. 2025-2027'!I942</f>
        <v>6865.2</v>
      </c>
      <c r="L427" s="212"/>
      <c r="M427" s="212"/>
      <c r="N427" s="212"/>
    </row>
    <row r="428" spans="1:14" s="82" customFormat="1" x14ac:dyDescent="0.25">
      <c r="A428" s="72" t="s">
        <v>834</v>
      </c>
      <c r="B428" s="73" t="s">
        <v>233</v>
      </c>
      <c r="C428" s="73"/>
      <c r="D428" s="116">
        <f>D429+D431</f>
        <v>62574.5</v>
      </c>
      <c r="E428" s="116">
        <f t="shared" ref="E428:F428" si="139">E429+E431</f>
        <v>60054.5</v>
      </c>
      <c r="F428" s="116">
        <f t="shared" si="139"/>
        <v>100478.6</v>
      </c>
      <c r="L428" s="212"/>
      <c r="M428" s="212"/>
      <c r="N428" s="212"/>
    </row>
    <row r="429" spans="1:14" s="82" customFormat="1" x14ac:dyDescent="0.25">
      <c r="A429" s="24" t="s">
        <v>563</v>
      </c>
      <c r="B429" s="75" t="s">
        <v>562</v>
      </c>
      <c r="C429" s="75"/>
      <c r="D429" s="119">
        <f>D430</f>
        <v>50956.9</v>
      </c>
      <c r="E429" s="119">
        <f t="shared" ref="E429:F429" si="140">E430</f>
        <v>48054.5</v>
      </c>
      <c r="F429" s="119">
        <f t="shared" si="140"/>
        <v>87778.6</v>
      </c>
      <c r="L429" s="212"/>
      <c r="M429" s="212"/>
      <c r="N429" s="212"/>
    </row>
    <row r="430" spans="1:14" s="82" customFormat="1" ht="25.5" x14ac:dyDescent="0.25">
      <c r="A430" s="24" t="s">
        <v>226</v>
      </c>
      <c r="B430" s="75" t="s">
        <v>562</v>
      </c>
      <c r="C430" s="75" t="s">
        <v>59</v>
      </c>
      <c r="D430" s="119">
        <f>'ведомств. стр. 2025-2027'!G945</f>
        <v>50956.9</v>
      </c>
      <c r="E430" s="119">
        <f>'ведомств. стр. 2025-2027'!H945</f>
        <v>48054.5</v>
      </c>
      <c r="F430" s="119">
        <f>'ведомств. стр. 2025-2027'!I945</f>
        <v>87778.6</v>
      </c>
      <c r="L430" s="212"/>
      <c r="M430" s="212"/>
      <c r="N430" s="212"/>
    </row>
    <row r="431" spans="1:14" s="82" customFormat="1" x14ac:dyDescent="0.25">
      <c r="A431" s="24" t="s">
        <v>565</v>
      </c>
      <c r="B431" s="75" t="s">
        <v>564</v>
      </c>
      <c r="C431" s="75"/>
      <c r="D431" s="119">
        <f>D432</f>
        <v>11617.6</v>
      </c>
      <c r="E431" s="119">
        <f t="shared" ref="E431:F431" si="141">E432</f>
        <v>12000</v>
      </c>
      <c r="F431" s="119">
        <f t="shared" si="141"/>
        <v>12700</v>
      </c>
      <c r="L431" s="212"/>
      <c r="M431" s="212"/>
      <c r="N431" s="212"/>
    </row>
    <row r="432" spans="1:14" s="82" customFormat="1" ht="25.5" x14ac:dyDescent="0.25">
      <c r="A432" s="24" t="s">
        <v>226</v>
      </c>
      <c r="B432" s="75" t="s">
        <v>564</v>
      </c>
      <c r="C432" s="75" t="s">
        <v>59</v>
      </c>
      <c r="D432" s="119">
        <f>'ведомств. стр. 2025-2027'!G947</f>
        <v>11617.6</v>
      </c>
      <c r="E432" s="119">
        <f>'ведомств. стр. 2025-2027'!H947</f>
        <v>12000</v>
      </c>
      <c r="F432" s="119">
        <f>'ведомств. стр. 2025-2027'!I947</f>
        <v>12700</v>
      </c>
      <c r="L432" s="212"/>
      <c r="M432" s="212"/>
      <c r="N432" s="212"/>
    </row>
    <row r="433" spans="1:14" s="82" customFormat="1" x14ac:dyDescent="0.25">
      <c r="A433" s="72" t="s">
        <v>835</v>
      </c>
      <c r="B433" s="73" t="s">
        <v>639</v>
      </c>
      <c r="C433" s="73"/>
      <c r="D433" s="116">
        <f>D434+D436</f>
        <v>66323.600000000006</v>
      </c>
      <c r="E433" s="116">
        <f t="shared" ref="E433:F433" si="142">E434+E436</f>
        <v>51248.2</v>
      </c>
      <c r="F433" s="116">
        <f t="shared" si="142"/>
        <v>47859.8</v>
      </c>
      <c r="L433" s="212"/>
      <c r="M433" s="212"/>
      <c r="N433" s="212"/>
    </row>
    <row r="434" spans="1:14" s="82" customFormat="1" ht="25.5" x14ac:dyDescent="0.25">
      <c r="A434" s="24" t="s">
        <v>668</v>
      </c>
      <c r="B434" s="75" t="s">
        <v>640</v>
      </c>
      <c r="C434" s="75"/>
      <c r="D434" s="119">
        <f>D435</f>
        <v>58957.5</v>
      </c>
      <c r="E434" s="119">
        <f t="shared" ref="E434:F434" si="143">E435</f>
        <v>51248.2</v>
      </c>
      <c r="F434" s="119">
        <f t="shared" si="143"/>
        <v>47859.8</v>
      </c>
      <c r="L434" s="212"/>
      <c r="M434" s="212"/>
      <c r="N434" s="212"/>
    </row>
    <row r="435" spans="1:14" s="82" customFormat="1" x14ac:dyDescent="0.25">
      <c r="A435" s="24" t="s">
        <v>61</v>
      </c>
      <c r="B435" s="75" t="s">
        <v>640</v>
      </c>
      <c r="C435" s="75" t="s">
        <v>62</v>
      </c>
      <c r="D435" s="119">
        <f>'ведомств. стр. 2025-2027'!G950</f>
        <v>58957.5</v>
      </c>
      <c r="E435" s="119">
        <f>'ведомств. стр. 2025-2027'!H950</f>
        <v>51248.2</v>
      </c>
      <c r="F435" s="119">
        <f>'ведомств. стр. 2025-2027'!I950</f>
        <v>47859.8</v>
      </c>
      <c r="L435" s="212"/>
      <c r="M435" s="212"/>
      <c r="N435" s="212"/>
    </row>
    <row r="436" spans="1:14" s="82" customFormat="1" ht="38.25" x14ac:dyDescent="0.25">
      <c r="A436" s="24" t="s">
        <v>968</v>
      </c>
      <c r="B436" s="75" t="s">
        <v>967</v>
      </c>
      <c r="C436" s="75"/>
      <c r="D436" s="119">
        <f>D437</f>
        <v>7366.1</v>
      </c>
      <c r="E436" s="119">
        <f t="shared" ref="E436:F436" si="144">E437</f>
        <v>0</v>
      </c>
      <c r="F436" s="119">
        <f t="shared" si="144"/>
        <v>0</v>
      </c>
      <c r="L436" s="212"/>
      <c r="M436" s="212"/>
      <c r="N436" s="212"/>
    </row>
    <row r="437" spans="1:14" s="82" customFormat="1" x14ac:dyDescent="0.25">
      <c r="A437" s="24" t="s">
        <v>61</v>
      </c>
      <c r="B437" s="75" t="s">
        <v>967</v>
      </c>
      <c r="C437" s="75" t="s">
        <v>62</v>
      </c>
      <c r="D437" s="119">
        <f>'ведомств. стр. 2025-2027'!G952</f>
        <v>7366.1</v>
      </c>
      <c r="E437" s="119">
        <f>'ведомств. стр. 2025-2027'!H952</f>
        <v>0</v>
      </c>
      <c r="F437" s="119">
        <f>'ведомств. стр. 2025-2027'!I952</f>
        <v>0</v>
      </c>
      <c r="L437" s="212"/>
      <c r="M437" s="212"/>
      <c r="N437" s="212"/>
    </row>
    <row r="438" spans="1:14" s="82" customFormat="1" ht="28.5" customHeight="1" x14ac:dyDescent="0.25">
      <c r="A438" s="72" t="s">
        <v>836</v>
      </c>
      <c r="B438" s="73" t="s">
        <v>663</v>
      </c>
      <c r="C438" s="73"/>
      <c r="D438" s="116">
        <f>D439+D441+D443</f>
        <v>9467</v>
      </c>
      <c r="E438" s="116">
        <f t="shared" ref="E438:F438" si="145">E439+E441+E443</f>
        <v>26479.5</v>
      </c>
      <c r="F438" s="116">
        <f t="shared" si="145"/>
        <v>46750.7</v>
      </c>
      <c r="L438" s="212"/>
      <c r="M438" s="212"/>
      <c r="N438" s="212"/>
    </row>
    <row r="439" spans="1:14" s="82" customFormat="1" ht="25.5" x14ac:dyDescent="0.25">
      <c r="A439" s="24" t="s">
        <v>665</v>
      </c>
      <c r="B439" s="75" t="s">
        <v>664</v>
      </c>
      <c r="C439" s="75"/>
      <c r="D439" s="119">
        <f>D440</f>
        <v>9467</v>
      </c>
      <c r="E439" s="119">
        <f t="shared" ref="E439:F439" si="146">E440</f>
        <v>0</v>
      </c>
      <c r="F439" s="119">
        <f t="shared" si="146"/>
        <v>0</v>
      </c>
      <c r="L439" s="212"/>
      <c r="M439" s="212"/>
      <c r="N439" s="212"/>
    </row>
    <row r="440" spans="1:14" s="82" customFormat="1" ht="25.5" x14ac:dyDescent="0.25">
      <c r="A440" s="24" t="s">
        <v>226</v>
      </c>
      <c r="B440" s="75" t="s">
        <v>664</v>
      </c>
      <c r="C440" s="75" t="s">
        <v>59</v>
      </c>
      <c r="D440" s="119">
        <f>'ведомств. стр. 2025-2027'!G955</f>
        <v>9467</v>
      </c>
      <c r="E440" s="119">
        <f>'ведомств. стр. 2025-2027'!H955</f>
        <v>0</v>
      </c>
      <c r="F440" s="119">
        <f>'ведомств. стр. 2025-2027'!I955</f>
        <v>0</v>
      </c>
      <c r="L440" s="212"/>
      <c r="M440" s="212"/>
      <c r="N440" s="212"/>
    </row>
    <row r="441" spans="1:14" s="82" customFormat="1" ht="25.5" x14ac:dyDescent="0.25">
      <c r="A441" s="24" t="s">
        <v>707</v>
      </c>
      <c r="B441" s="75" t="s">
        <v>706</v>
      </c>
      <c r="C441" s="75"/>
      <c r="D441" s="119">
        <f>D442</f>
        <v>0</v>
      </c>
      <c r="E441" s="119">
        <f t="shared" ref="E441:F441" si="147">E442</f>
        <v>10445</v>
      </c>
      <c r="F441" s="119">
        <f t="shared" si="147"/>
        <v>10445</v>
      </c>
      <c r="L441" s="212"/>
      <c r="M441" s="212"/>
      <c r="N441" s="212"/>
    </row>
    <row r="442" spans="1:14" s="82" customFormat="1" ht="25.5" x14ac:dyDescent="0.25">
      <c r="A442" s="24" t="s">
        <v>226</v>
      </c>
      <c r="B442" s="75" t="s">
        <v>706</v>
      </c>
      <c r="C442" s="75" t="s">
        <v>59</v>
      </c>
      <c r="D442" s="119">
        <f>'ведомств. стр. 2025-2027'!G957</f>
        <v>0</v>
      </c>
      <c r="E442" s="119">
        <f>'ведомств. стр. 2025-2027'!H957</f>
        <v>10445</v>
      </c>
      <c r="F442" s="119">
        <f>'ведомств. стр. 2025-2027'!I957</f>
        <v>10445</v>
      </c>
      <c r="L442" s="212"/>
      <c r="M442" s="212"/>
      <c r="N442" s="212"/>
    </row>
    <row r="443" spans="1:14" s="82" customFormat="1" ht="25.5" x14ac:dyDescent="0.25">
      <c r="A443" s="24" t="s">
        <v>921</v>
      </c>
      <c r="B443" s="75" t="s">
        <v>922</v>
      </c>
      <c r="C443" s="75"/>
      <c r="D443" s="119">
        <f>D444</f>
        <v>0</v>
      </c>
      <c r="E443" s="119">
        <f t="shared" ref="E443:F443" si="148">E444</f>
        <v>16034.5</v>
      </c>
      <c r="F443" s="119">
        <f t="shared" si="148"/>
        <v>36305.699999999997</v>
      </c>
      <c r="L443" s="212"/>
      <c r="M443" s="212"/>
      <c r="N443" s="212"/>
    </row>
    <row r="444" spans="1:14" s="82" customFormat="1" ht="25.5" x14ac:dyDescent="0.25">
      <c r="A444" s="24" t="s">
        <v>226</v>
      </c>
      <c r="B444" s="75" t="s">
        <v>922</v>
      </c>
      <c r="C444" s="75" t="s">
        <v>59</v>
      </c>
      <c r="D444" s="119">
        <f>'ведомств. стр. 2025-2027'!G959</f>
        <v>0</v>
      </c>
      <c r="E444" s="119">
        <f>'ведомств. стр. 2025-2027'!H959</f>
        <v>16034.5</v>
      </c>
      <c r="F444" s="119">
        <f>'ведомств. стр. 2025-2027'!I959</f>
        <v>36305.699999999997</v>
      </c>
      <c r="L444" s="212"/>
      <c r="M444" s="212"/>
      <c r="N444" s="212"/>
    </row>
    <row r="445" spans="1:14" s="82" customFormat="1" x14ac:dyDescent="0.25">
      <c r="A445" s="112" t="s">
        <v>776</v>
      </c>
      <c r="B445" s="111" t="s">
        <v>122</v>
      </c>
      <c r="C445" s="111"/>
      <c r="D445" s="118">
        <f>D446+D459+D469</f>
        <v>164971.90000000002</v>
      </c>
      <c r="E445" s="118">
        <f>E446+E459+E469</f>
        <v>15392.800000000001</v>
      </c>
      <c r="F445" s="118">
        <f>F446+F459+F469</f>
        <v>21722.5</v>
      </c>
      <c r="L445" s="212"/>
      <c r="M445" s="212"/>
      <c r="N445" s="212"/>
    </row>
    <row r="446" spans="1:14" s="82" customFormat="1" ht="28.5" customHeight="1" x14ac:dyDescent="0.25">
      <c r="A446" s="72" t="s">
        <v>832</v>
      </c>
      <c r="B446" s="73" t="s">
        <v>123</v>
      </c>
      <c r="C446" s="73"/>
      <c r="D446" s="116">
        <f>D447+D451+D455+D457+D453+D449</f>
        <v>37066.800000000003</v>
      </c>
      <c r="E446" s="116">
        <f t="shared" ref="E446:F446" si="149">E447+E451+E455+E457+E453+E449</f>
        <v>12684.300000000001</v>
      </c>
      <c r="F446" s="116">
        <f t="shared" si="149"/>
        <v>19341.099999999999</v>
      </c>
      <c r="L446" s="212"/>
      <c r="M446" s="212"/>
      <c r="N446" s="212"/>
    </row>
    <row r="447" spans="1:14" s="82" customFormat="1" x14ac:dyDescent="0.25">
      <c r="A447" s="24" t="s">
        <v>335</v>
      </c>
      <c r="B447" s="75" t="s">
        <v>556</v>
      </c>
      <c r="C447" s="75"/>
      <c r="D447" s="119">
        <f>D448</f>
        <v>11638.599999999999</v>
      </c>
      <c r="E447" s="119">
        <f t="shared" ref="E447:F447" si="150">E448</f>
        <v>9143.7000000000007</v>
      </c>
      <c r="F447" s="119">
        <f t="shared" si="150"/>
        <v>9392.5</v>
      </c>
      <c r="L447" s="212"/>
      <c r="M447" s="212"/>
      <c r="N447" s="212"/>
    </row>
    <row r="448" spans="1:14" s="82" customFormat="1" ht="25.5" x14ac:dyDescent="0.25">
      <c r="A448" s="24" t="s">
        <v>226</v>
      </c>
      <c r="B448" s="75" t="s">
        <v>556</v>
      </c>
      <c r="C448" s="75" t="s">
        <v>59</v>
      </c>
      <c r="D448" s="119">
        <f>'ведомств. стр. 2025-2027'!G894</f>
        <v>11638.599999999999</v>
      </c>
      <c r="E448" s="119">
        <f>'ведомств. стр. 2025-2027'!H894</f>
        <v>9143.7000000000007</v>
      </c>
      <c r="F448" s="119">
        <f>'ведомств. стр. 2025-2027'!I894</f>
        <v>9392.5</v>
      </c>
      <c r="L448" s="212"/>
      <c r="M448" s="212"/>
      <c r="N448" s="212"/>
    </row>
    <row r="449" spans="1:14" s="82" customFormat="1" x14ac:dyDescent="0.25">
      <c r="A449" s="24" t="s">
        <v>977</v>
      </c>
      <c r="B449" s="75" t="s">
        <v>976</v>
      </c>
      <c r="C449" s="75"/>
      <c r="D449" s="119">
        <f>D450</f>
        <v>18620</v>
      </c>
      <c r="E449" s="119">
        <f t="shared" ref="E449:F449" si="151">E450</f>
        <v>0</v>
      </c>
      <c r="F449" s="119">
        <f t="shared" si="151"/>
        <v>0</v>
      </c>
      <c r="L449" s="212"/>
      <c r="M449" s="212"/>
      <c r="N449" s="212"/>
    </row>
    <row r="450" spans="1:14" s="82" customFormat="1" x14ac:dyDescent="0.25">
      <c r="A450" s="24" t="s">
        <v>227</v>
      </c>
      <c r="B450" s="75" t="s">
        <v>976</v>
      </c>
      <c r="C450" s="75" t="s">
        <v>193</v>
      </c>
      <c r="D450" s="119">
        <f>'ведомств. стр. 2025-2027'!G896</f>
        <v>18620</v>
      </c>
      <c r="E450" s="119">
        <f>'ведомств. стр. 2025-2027'!H896</f>
        <v>0</v>
      </c>
      <c r="F450" s="119">
        <f>'ведомств. стр. 2025-2027'!I896</f>
        <v>0</v>
      </c>
      <c r="L450" s="212"/>
      <c r="M450" s="212"/>
      <c r="N450" s="212"/>
    </row>
    <row r="451" spans="1:14" s="82" customFormat="1" ht="63.75" x14ac:dyDescent="0.25">
      <c r="A451" s="24" t="s">
        <v>649</v>
      </c>
      <c r="B451" s="75" t="s">
        <v>648</v>
      </c>
      <c r="C451" s="75"/>
      <c r="D451" s="119">
        <f>D452</f>
        <v>2808.2</v>
      </c>
      <c r="E451" s="119">
        <f t="shared" ref="E451:F451" si="152">E452</f>
        <v>2802.6</v>
      </c>
      <c r="F451" s="119">
        <f t="shared" si="152"/>
        <v>4974.3</v>
      </c>
      <c r="L451" s="212"/>
      <c r="M451" s="212"/>
      <c r="N451" s="212"/>
    </row>
    <row r="452" spans="1:14" s="82" customFormat="1" x14ac:dyDescent="0.25">
      <c r="A452" s="24" t="s">
        <v>95</v>
      </c>
      <c r="B452" s="75" t="s">
        <v>648</v>
      </c>
      <c r="C452" s="75" t="s">
        <v>62</v>
      </c>
      <c r="D452" s="119">
        <f>'ведомств. стр. 2025-2027'!G898</f>
        <v>2808.2</v>
      </c>
      <c r="E452" s="119">
        <f>'ведомств. стр. 2025-2027'!H898</f>
        <v>2802.6</v>
      </c>
      <c r="F452" s="119">
        <f>'ведомств. стр. 2025-2027'!I898</f>
        <v>4974.3</v>
      </c>
      <c r="L452" s="212"/>
      <c r="M452" s="212"/>
      <c r="N452" s="212"/>
    </row>
    <row r="453" spans="1:14" s="82" customFormat="1" ht="63.75" x14ac:dyDescent="0.25">
      <c r="A453" s="24" t="s">
        <v>961</v>
      </c>
      <c r="B453" s="75" t="s">
        <v>962</v>
      </c>
      <c r="C453" s="75"/>
      <c r="D453" s="119">
        <f>D454</f>
        <v>1800</v>
      </c>
      <c r="E453" s="119">
        <f t="shared" ref="E453:F453" si="153">E454</f>
        <v>0</v>
      </c>
      <c r="F453" s="119">
        <f t="shared" si="153"/>
        <v>0</v>
      </c>
      <c r="L453" s="212"/>
      <c r="M453" s="212"/>
      <c r="N453" s="212"/>
    </row>
    <row r="454" spans="1:14" s="82" customFormat="1" x14ac:dyDescent="0.25">
      <c r="A454" s="24" t="s">
        <v>95</v>
      </c>
      <c r="B454" s="75" t="s">
        <v>962</v>
      </c>
      <c r="C454" s="75" t="s">
        <v>62</v>
      </c>
      <c r="D454" s="119">
        <f>'ведомств. стр. 2025-2027'!G900</f>
        <v>1800</v>
      </c>
      <c r="E454" s="119">
        <f>'ведомств. стр. 2025-2027'!H900</f>
        <v>0</v>
      </c>
      <c r="F454" s="119">
        <f>'ведомств. стр. 2025-2027'!I900</f>
        <v>0</v>
      </c>
      <c r="L454" s="212"/>
      <c r="M454" s="212"/>
      <c r="N454" s="212"/>
    </row>
    <row r="455" spans="1:14" s="82" customFormat="1" x14ac:dyDescent="0.25">
      <c r="A455" s="24" t="s">
        <v>867</v>
      </c>
      <c r="B455" s="75" t="s">
        <v>866</v>
      </c>
      <c r="C455" s="75"/>
      <c r="D455" s="119">
        <f>D456</f>
        <v>2200</v>
      </c>
      <c r="E455" s="119">
        <f t="shared" ref="E455:F455" si="154">E456</f>
        <v>0</v>
      </c>
      <c r="F455" s="119">
        <f t="shared" si="154"/>
        <v>0</v>
      </c>
      <c r="L455" s="212"/>
      <c r="M455" s="212"/>
      <c r="N455" s="212"/>
    </row>
    <row r="456" spans="1:14" s="82" customFormat="1" ht="25.5" x14ac:dyDescent="0.25">
      <c r="A456" s="24" t="s">
        <v>226</v>
      </c>
      <c r="B456" s="75" t="s">
        <v>866</v>
      </c>
      <c r="C456" s="75" t="s">
        <v>59</v>
      </c>
      <c r="D456" s="119">
        <f>'ведомств. стр. 2025-2027'!G902</f>
        <v>2200</v>
      </c>
      <c r="E456" s="119">
        <f>'ведомств. стр. 2025-2027'!H902</f>
        <v>0</v>
      </c>
      <c r="F456" s="119">
        <f>'ведомств. стр. 2025-2027'!I902</f>
        <v>0</v>
      </c>
      <c r="L456" s="212"/>
      <c r="M456" s="212"/>
      <c r="N456" s="212"/>
    </row>
    <row r="457" spans="1:14" s="82" customFormat="1" ht="63.75" x14ac:dyDescent="0.25">
      <c r="A457" s="24" t="s">
        <v>905</v>
      </c>
      <c r="B457" s="75" t="s">
        <v>891</v>
      </c>
      <c r="C457" s="75"/>
      <c r="D457" s="119">
        <f>D458</f>
        <v>0</v>
      </c>
      <c r="E457" s="119">
        <f t="shared" ref="E457:F457" si="155">E458</f>
        <v>738</v>
      </c>
      <c r="F457" s="119">
        <f t="shared" si="155"/>
        <v>4974.3</v>
      </c>
      <c r="L457" s="212"/>
      <c r="M457" s="212"/>
      <c r="N457" s="212"/>
    </row>
    <row r="458" spans="1:14" s="82" customFormat="1" x14ac:dyDescent="0.25">
      <c r="A458" s="24" t="s">
        <v>95</v>
      </c>
      <c r="B458" s="75" t="s">
        <v>891</v>
      </c>
      <c r="C458" s="75" t="s">
        <v>62</v>
      </c>
      <c r="D458" s="119">
        <f>'ведомств. стр. 2025-2027'!G904</f>
        <v>0</v>
      </c>
      <c r="E458" s="119">
        <f>'ведомств. стр. 2025-2027'!H904</f>
        <v>738</v>
      </c>
      <c r="F458" s="119">
        <f>'ведомств. стр. 2025-2027'!I904</f>
        <v>4974.3</v>
      </c>
      <c r="L458" s="212"/>
      <c r="M458" s="212"/>
      <c r="N458" s="212"/>
    </row>
    <row r="459" spans="1:14" s="82" customFormat="1" x14ac:dyDescent="0.25">
      <c r="A459" s="72" t="s">
        <v>906</v>
      </c>
      <c r="B459" s="73" t="s">
        <v>892</v>
      </c>
      <c r="C459" s="73"/>
      <c r="D459" s="116">
        <f>D460</f>
        <v>2708.5</v>
      </c>
      <c r="E459" s="116">
        <f t="shared" ref="E459:F459" si="156">E460</f>
        <v>2708.5</v>
      </c>
      <c r="F459" s="116">
        <f t="shared" si="156"/>
        <v>2381.4</v>
      </c>
      <c r="L459" s="212"/>
      <c r="M459" s="212"/>
      <c r="N459" s="212"/>
    </row>
    <row r="460" spans="1:14" s="82" customFormat="1" ht="25.5" x14ac:dyDescent="0.25">
      <c r="A460" s="24" t="s">
        <v>242</v>
      </c>
      <c r="B460" s="75" t="s">
        <v>893</v>
      </c>
      <c r="C460" s="75"/>
      <c r="D460" s="119">
        <f>D461+D463+D465+D467</f>
        <v>2708.5</v>
      </c>
      <c r="E460" s="119">
        <f t="shared" ref="E460:F460" si="157">E461+E463+E465+E467</f>
        <v>2708.5</v>
      </c>
      <c r="F460" s="119">
        <f t="shared" si="157"/>
        <v>2381.4</v>
      </c>
      <c r="L460" s="212"/>
      <c r="M460" s="212"/>
      <c r="N460" s="212"/>
    </row>
    <row r="461" spans="1:14" s="82" customFormat="1" ht="38.25" x14ac:dyDescent="0.25">
      <c r="A461" s="24" t="s">
        <v>896</v>
      </c>
      <c r="B461" s="75" t="s">
        <v>894</v>
      </c>
      <c r="C461" s="75"/>
      <c r="D461" s="119">
        <f>D462</f>
        <v>1091.9000000000001</v>
      </c>
      <c r="E461" s="119">
        <f t="shared" ref="E461:F461" si="158">E462</f>
        <v>850</v>
      </c>
      <c r="F461" s="119">
        <f t="shared" si="158"/>
        <v>850</v>
      </c>
      <c r="L461" s="212"/>
      <c r="M461" s="212"/>
      <c r="N461" s="212"/>
    </row>
    <row r="462" spans="1:14" s="82" customFormat="1" ht="25.5" x14ac:dyDescent="0.25">
      <c r="A462" s="24" t="s">
        <v>64</v>
      </c>
      <c r="B462" s="75" t="s">
        <v>894</v>
      </c>
      <c r="C462" s="75" t="s">
        <v>65</v>
      </c>
      <c r="D462" s="119">
        <f>'ведомств. стр. 2025-2027'!G908</f>
        <v>1091.9000000000001</v>
      </c>
      <c r="E462" s="119">
        <f>'ведомств. стр. 2025-2027'!H908</f>
        <v>850</v>
      </c>
      <c r="F462" s="119">
        <f>'ведомств. стр. 2025-2027'!I908</f>
        <v>850</v>
      </c>
      <c r="L462" s="212"/>
      <c r="M462" s="212"/>
      <c r="N462" s="212"/>
    </row>
    <row r="463" spans="1:14" s="82" customFormat="1" ht="25.5" x14ac:dyDescent="0.25">
      <c r="A463" s="24" t="s">
        <v>897</v>
      </c>
      <c r="B463" s="75" t="s">
        <v>895</v>
      </c>
      <c r="C463" s="75"/>
      <c r="D463" s="119">
        <f>D464</f>
        <v>588</v>
      </c>
      <c r="E463" s="119">
        <f t="shared" ref="E463:F463" si="159">E464</f>
        <v>1858.5</v>
      </c>
      <c r="F463" s="119">
        <f t="shared" si="159"/>
        <v>1531.4</v>
      </c>
      <c r="L463" s="212"/>
      <c r="M463" s="212"/>
      <c r="N463" s="212"/>
    </row>
    <row r="464" spans="1:14" s="82" customFormat="1" ht="25.5" x14ac:dyDescent="0.25">
      <c r="A464" s="24" t="s">
        <v>64</v>
      </c>
      <c r="B464" s="75" t="s">
        <v>895</v>
      </c>
      <c r="C464" s="75" t="s">
        <v>65</v>
      </c>
      <c r="D464" s="119">
        <f>'ведомств. стр. 2025-2027'!G910</f>
        <v>588</v>
      </c>
      <c r="E464" s="119">
        <f>'ведомств. стр. 2025-2027'!H910</f>
        <v>1858.5</v>
      </c>
      <c r="F464" s="119">
        <f>'ведомств. стр. 2025-2027'!I910</f>
        <v>1531.4</v>
      </c>
      <c r="L464" s="212"/>
      <c r="M464" s="212"/>
      <c r="N464" s="212"/>
    </row>
    <row r="465" spans="1:14" s="82" customFormat="1" ht="25.5" x14ac:dyDescent="0.25">
      <c r="A465" s="24" t="s">
        <v>513</v>
      </c>
      <c r="B465" s="75" t="s">
        <v>1019</v>
      </c>
      <c r="C465" s="75"/>
      <c r="D465" s="119">
        <f>D466</f>
        <v>237.2</v>
      </c>
      <c r="E465" s="119">
        <f t="shared" ref="E465:F465" si="160">E466</f>
        <v>0</v>
      </c>
      <c r="F465" s="119">
        <f t="shared" si="160"/>
        <v>0</v>
      </c>
      <c r="L465" s="212"/>
      <c r="M465" s="212"/>
      <c r="N465" s="212"/>
    </row>
    <row r="466" spans="1:14" s="82" customFormat="1" ht="25.5" x14ac:dyDescent="0.25">
      <c r="A466" s="24" t="s">
        <v>64</v>
      </c>
      <c r="B466" s="75" t="s">
        <v>1019</v>
      </c>
      <c r="C466" s="75" t="s">
        <v>65</v>
      </c>
      <c r="D466" s="119">
        <f>'ведомств. стр. 2025-2027'!G912</f>
        <v>237.2</v>
      </c>
      <c r="E466" s="119">
        <f>'ведомств. стр. 2025-2027'!H912</f>
        <v>0</v>
      </c>
      <c r="F466" s="119">
        <f>'ведомств. стр. 2025-2027'!I912</f>
        <v>0</v>
      </c>
      <c r="L466" s="212"/>
      <c r="M466" s="212"/>
      <c r="N466" s="212"/>
    </row>
    <row r="467" spans="1:14" s="82" customFormat="1" ht="25.5" x14ac:dyDescent="0.25">
      <c r="A467" s="24" t="s">
        <v>1021</v>
      </c>
      <c r="B467" s="75" t="s">
        <v>1020</v>
      </c>
      <c r="C467" s="75"/>
      <c r="D467" s="119">
        <f>D468</f>
        <v>791.4</v>
      </c>
      <c r="E467" s="119">
        <f t="shared" ref="E467:F467" si="161">E468</f>
        <v>0</v>
      </c>
      <c r="F467" s="119">
        <f t="shared" si="161"/>
        <v>0</v>
      </c>
      <c r="L467" s="212"/>
      <c r="M467" s="212"/>
      <c r="N467" s="212"/>
    </row>
    <row r="468" spans="1:14" s="82" customFormat="1" ht="25.5" x14ac:dyDescent="0.25">
      <c r="A468" s="24" t="s">
        <v>64</v>
      </c>
      <c r="B468" s="75" t="s">
        <v>1020</v>
      </c>
      <c r="C468" s="75" t="s">
        <v>65</v>
      </c>
      <c r="D468" s="119">
        <f>'ведомств. стр. 2025-2027'!G914</f>
        <v>791.4</v>
      </c>
      <c r="E468" s="119">
        <f>'ведомств. стр. 2025-2027'!H914</f>
        <v>0</v>
      </c>
      <c r="F468" s="119">
        <f>'ведомств. стр. 2025-2027'!I914</f>
        <v>0</v>
      </c>
      <c r="L468" s="212"/>
      <c r="M468" s="212"/>
      <c r="N468" s="212"/>
    </row>
    <row r="469" spans="1:14" s="82" customFormat="1" ht="25.5" x14ac:dyDescent="0.25">
      <c r="A469" s="72" t="s">
        <v>917</v>
      </c>
      <c r="B469" s="73" t="s">
        <v>918</v>
      </c>
      <c r="C469" s="73"/>
      <c r="D469" s="116">
        <f>D470</f>
        <v>125196.6</v>
      </c>
      <c r="E469" s="116">
        <f t="shared" ref="E469:F469" si="162">E470</f>
        <v>0</v>
      </c>
      <c r="F469" s="116">
        <f t="shared" si="162"/>
        <v>0</v>
      </c>
      <c r="L469" s="212"/>
      <c r="M469" s="212"/>
      <c r="N469" s="212"/>
    </row>
    <row r="470" spans="1:14" s="82" customFormat="1" x14ac:dyDescent="0.25">
      <c r="A470" s="24" t="s">
        <v>920</v>
      </c>
      <c r="B470" s="75" t="s">
        <v>919</v>
      </c>
      <c r="C470" s="75"/>
      <c r="D470" s="119">
        <f>+D471</f>
        <v>125196.6</v>
      </c>
      <c r="E470" s="119">
        <f t="shared" ref="E470:F470" si="163">+E471</f>
        <v>0</v>
      </c>
      <c r="F470" s="119">
        <f t="shared" si="163"/>
        <v>0</v>
      </c>
      <c r="L470" s="212"/>
      <c r="M470" s="212"/>
      <c r="N470" s="212"/>
    </row>
    <row r="471" spans="1:14" s="82" customFormat="1" x14ac:dyDescent="0.25">
      <c r="A471" s="24" t="s">
        <v>227</v>
      </c>
      <c r="B471" s="75" t="s">
        <v>919</v>
      </c>
      <c r="C471" s="75" t="s">
        <v>193</v>
      </c>
      <c r="D471" s="119">
        <f>'ведомств. стр. 2025-2027'!G917</f>
        <v>125196.6</v>
      </c>
      <c r="E471" s="119">
        <f>'ведомств. стр. 2025-2027'!H917</f>
        <v>0</v>
      </c>
      <c r="F471" s="119">
        <f>'ведомств. стр. 2025-2027'!I917</f>
        <v>0</v>
      </c>
      <c r="L471" s="212"/>
      <c r="M471" s="212"/>
      <c r="N471" s="212"/>
    </row>
    <row r="472" spans="1:14" s="82" customFormat="1" ht="27" x14ac:dyDescent="0.25">
      <c r="A472" s="164" t="s">
        <v>778</v>
      </c>
      <c r="B472" s="111" t="s">
        <v>567</v>
      </c>
      <c r="C472" s="111"/>
      <c r="D472" s="118">
        <f>D473</f>
        <v>118196.6</v>
      </c>
      <c r="E472" s="118">
        <f t="shared" ref="E472:F472" si="164">E473</f>
        <v>113525.20000000001</v>
      </c>
      <c r="F472" s="118">
        <f t="shared" si="164"/>
        <v>124327.2</v>
      </c>
      <c r="L472" s="212"/>
      <c r="M472" s="212"/>
      <c r="N472" s="212"/>
    </row>
    <row r="473" spans="1:14" s="82" customFormat="1" ht="25.5" x14ac:dyDescent="0.25">
      <c r="A473" s="72" t="s">
        <v>840</v>
      </c>
      <c r="B473" s="73" t="s">
        <v>568</v>
      </c>
      <c r="C473" s="73"/>
      <c r="D473" s="116">
        <f>D474+D478</f>
        <v>118196.6</v>
      </c>
      <c r="E473" s="116">
        <f t="shared" ref="E473:F473" si="165">E474+E478</f>
        <v>113525.20000000001</v>
      </c>
      <c r="F473" s="116">
        <f t="shared" si="165"/>
        <v>124327.2</v>
      </c>
      <c r="L473" s="212"/>
      <c r="M473" s="212"/>
      <c r="N473" s="212"/>
    </row>
    <row r="474" spans="1:14" s="82" customFormat="1" x14ac:dyDescent="0.25">
      <c r="A474" s="24" t="s">
        <v>138</v>
      </c>
      <c r="B474" s="75" t="s">
        <v>569</v>
      </c>
      <c r="C474" s="75"/>
      <c r="D474" s="119">
        <f>D475+D476+D477</f>
        <v>41417.200000000004</v>
      </c>
      <c r="E474" s="119">
        <f t="shared" ref="E474:F474" si="166">E475+E476+E477</f>
        <v>43016.4</v>
      </c>
      <c r="F474" s="119">
        <f t="shared" si="166"/>
        <v>44716.2</v>
      </c>
      <c r="L474" s="212"/>
      <c r="M474" s="212"/>
      <c r="N474" s="212"/>
    </row>
    <row r="475" spans="1:14" s="82" customFormat="1" ht="38.25" x14ac:dyDescent="0.25">
      <c r="A475" s="24" t="s">
        <v>225</v>
      </c>
      <c r="B475" s="75" t="s">
        <v>569</v>
      </c>
      <c r="C475" s="75" t="s">
        <v>66</v>
      </c>
      <c r="D475" s="119">
        <f>'ведомств. стр. 2025-2027'!G990</f>
        <v>40819.800000000003</v>
      </c>
      <c r="E475" s="119">
        <f>'ведомств. стр. 2025-2027'!H990</f>
        <v>42453.4</v>
      </c>
      <c r="F475" s="119">
        <f>'ведомств. стр. 2025-2027'!I990</f>
        <v>44153.2</v>
      </c>
      <c r="L475" s="212"/>
      <c r="M475" s="212"/>
      <c r="N475" s="212"/>
    </row>
    <row r="476" spans="1:14" s="82" customFormat="1" ht="25.5" x14ac:dyDescent="0.25">
      <c r="A476" s="24" t="s">
        <v>226</v>
      </c>
      <c r="B476" s="75" t="s">
        <v>569</v>
      </c>
      <c r="C476" s="75" t="s">
        <v>59</v>
      </c>
      <c r="D476" s="119">
        <f>'ведомств. стр. 2025-2027'!G991</f>
        <v>591.4</v>
      </c>
      <c r="E476" s="119">
        <f>'ведомств. стр. 2025-2027'!H991</f>
        <v>557</v>
      </c>
      <c r="F476" s="119">
        <f>'ведомств. стр. 2025-2027'!I991</f>
        <v>557</v>
      </c>
      <c r="L476" s="212"/>
      <c r="M476" s="212"/>
      <c r="N476" s="212"/>
    </row>
    <row r="477" spans="1:14" s="82" customFormat="1" x14ac:dyDescent="0.25">
      <c r="A477" s="24" t="s">
        <v>95</v>
      </c>
      <c r="B477" s="75" t="s">
        <v>569</v>
      </c>
      <c r="C477" s="75" t="s">
        <v>62</v>
      </c>
      <c r="D477" s="119">
        <f>'ведомств. стр. 2025-2027'!G992</f>
        <v>6</v>
      </c>
      <c r="E477" s="119">
        <f>'ведомств. стр. 2025-2027'!H992</f>
        <v>6</v>
      </c>
      <c r="F477" s="119">
        <f>'ведомств. стр. 2025-2027'!I992</f>
        <v>6</v>
      </c>
      <c r="L477" s="212"/>
      <c r="M477" s="212"/>
      <c r="N477" s="212"/>
    </row>
    <row r="478" spans="1:14" s="82" customFormat="1" x14ac:dyDescent="0.25">
      <c r="A478" s="23" t="s">
        <v>240</v>
      </c>
      <c r="B478" s="75" t="s">
        <v>570</v>
      </c>
      <c r="C478" s="75"/>
      <c r="D478" s="119">
        <f>D479+D480+D481</f>
        <v>76779.399999999994</v>
      </c>
      <c r="E478" s="119">
        <f t="shared" ref="E478:F478" si="167">E479+E480+E481</f>
        <v>70508.800000000003</v>
      </c>
      <c r="F478" s="119">
        <f t="shared" si="167"/>
        <v>79611</v>
      </c>
      <c r="L478" s="212"/>
      <c r="M478" s="212"/>
      <c r="N478" s="212"/>
    </row>
    <row r="479" spans="1:14" s="82" customFormat="1" ht="38.25" x14ac:dyDescent="0.25">
      <c r="A479" s="24" t="s">
        <v>225</v>
      </c>
      <c r="B479" s="75" t="s">
        <v>570</v>
      </c>
      <c r="C479" s="75" t="s">
        <v>66</v>
      </c>
      <c r="D479" s="119">
        <f>'ведомств. стр. 2025-2027'!G994</f>
        <v>48470.1</v>
      </c>
      <c r="E479" s="119">
        <f>'ведомств. стр. 2025-2027'!H994</f>
        <v>42279.4</v>
      </c>
      <c r="F479" s="119">
        <f>'ведомств. стр. 2025-2027'!I994</f>
        <v>44000.5</v>
      </c>
      <c r="L479" s="212"/>
      <c r="M479" s="212"/>
      <c r="N479" s="212"/>
    </row>
    <row r="480" spans="1:14" s="82" customFormat="1" ht="25.5" x14ac:dyDescent="0.25">
      <c r="A480" s="24" t="s">
        <v>226</v>
      </c>
      <c r="B480" s="75" t="s">
        <v>570</v>
      </c>
      <c r="C480" s="75" t="s">
        <v>59</v>
      </c>
      <c r="D480" s="119">
        <f>'ведомств. стр. 2025-2027'!G995</f>
        <v>4062.3</v>
      </c>
      <c r="E480" s="119">
        <f>'ведомств. стр. 2025-2027'!H995</f>
        <v>4096.3999999999996</v>
      </c>
      <c r="F480" s="119">
        <f>'ведомств. стр. 2025-2027'!I995</f>
        <v>6192.1</v>
      </c>
      <c r="L480" s="212"/>
      <c r="M480" s="212"/>
      <c r="N480" s="212"/>
    </row>
    <row r="481" spans="1:14" s="82" customFormat="1" x14ac:dyDescent="0.25">
      <c r="A481" s="24" t="s">
        <v>95</v>
      </c>
      <c r="B481" s="75" t="s">
        <v>570</v>
      </c>
      <c r="C481" s="75" t="s">
        <v>62</v>
      </c>
      <c r="D481" s="119">
        <f>'ведомств. стр. 2025-2027'!G996</f>
        <v>24247</v>
      </c>
      <c r="E481" s="119">
        <f>'ведомств. стр. 2025-2027'!H996</f>
        <v>24133</v>
      </c>
      <c r="F481" s="119">
        <f>'ведомств. стр. 2025-2027'!I996</f>
        <v>29418.400000000001</v>
      </c>
      <c r="L481" s="212"/>
      <c r="M481" s="212"/>
      <c r="N481" s="212"/>
    </row>
    <row r="482" spans="1:14" s="96" customFormat="1" ht="32.25" customHeight="1" x14ac:dyDescent="0.2">
      <c r="A482" s="81" t="s">
        <v>403</v>
      </c>
      <c r="B482" s="80" t="s">
        <v>210</v>
      </c>
      <c r="C482" s="80"/>
      <c r="D482" s="117">
        <f>D483+D494</f>
        <v>52670.5</v>
      </c>
      <c r="E482" s="117">
        <f>E483+E494</f>
        <v>54702.600000000006</v>
      </c>
      <c r="F482" s="117">
        <f>F483+F494</f>
        <v>56455.200000000004</v>
      </c>
      <c r="I482" s="194"/>
      <c r="J482" s="194"/>
      <c r="K482" s="194"/>
      <c r="L482" s="210"/>
      <c r="M482" s="210"/>
      <c r="N482" s="210"/>
    </row>
    <row r="483" spans="1:14" s="96" customFormat="1" ht="13.5" x14ac:dyDescent="0.2">
      <c r="A483" s="112" t="s">
        <v>765</v>
      </c>
      <c r="B483" s="111" t="s">
        <v>404</v>
      </c>
      <c r="C483" s="111"/>
      <c r="D483" s="118">
        <f>D484+D487+D491</f>
        <v>6559.9999999999991</v>
      </c>
      <c r="E483" s="118">
        <f>E484+E487+E491</f>
        <v>6811.7999999999993</v>
      </c>
      <c r="F483" s="118">
        <f>F484+F487+F491</f>
        <v>6714.4</v>
      </c>
      <c r="L483" s="210"/>
      <c r="M483" s="210"/>
      <c r="N483" s="210"/>
    </row>
    <row r="484" spans="1:14" s="96" customFormat="1" ht="38.25" x14ac:dyDescent="0.2">
      <c r="A484" s="72" t="s">
        <v>806</v>
      </c>
      <c r="B484" s="73" t="s">
        <v>405</v>
      </c>
      <c r="C484" s="73"/>
      <c r="D484" s="116">
        <f>D485</f>
        <v>897.4</v>
      </c>
      <c r="E484" s="116">
        <f>E485</f>
        <v>897.4</v>
      </c>
      <c r="F484" s="116">
        <f>F485</f>
        <v>800</v>
      </c>
      <c r="L484" s="210"/>
      <c r="M484" s="210"/>
      <c r="N484" s="210"/>
    </row>
    <row r="485" spans="1:14" s="96" customFormat="1" ht="25.5" x14ac:dyDescent="0.2">
      <c r="A485" s="24" t="s">
        <v>213</v>
      </c>
      <c r="B485" s="75" t="s">
        <v>406</v>
      </c>
      <c r="C485" s="75"/>
      <c r="D485" s="119">
        <f>D486</f>
        <v>897.4</v>
      </c>
      <c r="E485" s="119">
        <f t="shared" ref="E485:F485" si="168">E486</f>
        <v>897.4</v>
      </c>
      <c r="F485" s="119">
        <f t="shared" si="168"/>
        <v>800</v>
      </c>
      <c r="L485" s="210"/>
      <c r="M485" s="210"/>
      <c r="N485" s="210"/>
    </row>
    <row r="486" spans="1:14" s="96" customFormat="1" ht="25.5" x14ac:dyDescent="0.2">
      <c r="A486" s="24" t="s">
        <v>226</v>
      </c>
      <c r="B486" s="75" t="s">
        <v>406</v>
      </c>
      <c r="C486" s="75" t="s">
        <v>59</v>
      </c>
      <c r="D486" s="119">
        <f>'ведомств. стр. 2025-2027'!G534</f>
        <v>897.4</v>
      </c>
      <c r="E486" s="119">
        <f>'ведомств. стр. 2025-2027'!H534</f>
        <v>897.4</v>
      </c>
      <c r="F486" s="119">
        <f>'ведомств. стр. 2025-2027'!I534</f>
        <v>800</v>
      </c>
      <c r="L486" s="210"/>
      <c r="M486" s="210"/>
      <c r="N486" s="210"/>
    </row>
    <row r="487" spans="1:14" s="96" customFormat="1" ht="25.5" x14ac:dyDescent="0.2">
      <c r="A487" s="72" t="s">
        <v>807</v>
      </c>
      <c r="B487" s="73" t="s">
        <v>407</v>
      </c>
      <c r="C487" s="73"/>
      <c r="D487" s="116">
        <f>D488</f>
        <v>4677.5999999999995</v>
      </c>
      <c r="E487" s="116">
        <f>E488</f>
        <v>4929.3999999999996</v>
      </c>
      <c r="F487" s="116">
        <f>F488</f>
        <v>4929.3999999999996</v>
      </c>
      <c r="L487" s="210"/>
      <c r="M487" s="210"/>
      <c r="N487" s="210"/>
    </row>
    <row r="488" spans="1:14" s="96" customFormat="1" ht="12.75" x14ac:dyDescent="0.2">
      <c r="A488" s="24" t="s">
        <v>214</v>
      </c>
      <c r="B488" s="75" t="s">
        <v>408</v>
      </c>
      <c r="C488" s="75"/>
      <c r="D488" s="119">
        <f>D489+D490</f>
        <v>4677.5999999999995</v>
      </c>
      <c r="E488" s="119">
        <f>E489+E490</f>
        <v>4929.3999999999996</v>
      </c>
      <c r="F488" s="119">
        <f>F489+F490</f>
        <v>4929.3999999999996</v>
      </c>
      <c r="L488" s="210"/>
      <c r="M488" s="210"/>
      <c r="N488" s="210"/>
    </row>
    <row r="489" spans="1:14" s="96" customFormat="1" ht="25.5" x14ac:dyDescent="0.2">
      <c r="A489" s="24" t="s">
        <v>226</v>
      </c>
      <c r="B489" s="75" t="s">
        <v>408</v>
      </c>
      <c r="C489" s="75" t="s">
        <v>59</v>
      </c>
      <c r="D489" s="119">
        <f>'ведомств. стр. 2025-2027'!G537</f>
        <v>4565.2</v>
      </c>
      <c r="E489" s="119">
        <f>'ведомств. стр. 2025-2027'!H537</f>
        <v>4817</v>
      </c>
      <c r="F489" s="119">
        <f>'ведомств. стр. 2025-2027'!I537</f>
        <v>4817</v>
      </c>
      <c r="L489" s="210"/>
      <c r="M489" s="210"/>
      <c r="N489" s="210"/>
    </row>
    <row r="490" spans="1:14" s="96" customFormat="1" ht="12.75" x14ac:dyDescent="0.2">
      <c r="A490" s="24" t="s">
        <v>95</v>
      </c>
      <c r="B490" s="75" t="s">
        <v>408</v>
      </c>
      <c r="C490" s="75" t="s">
        <v>62</v>
      </c>
      <c r="D490" s="119">
        <f>'ведомств. стр. 2025-2027'!G538</f>
        <v>112.4</v>
      </c>
      <c r="E490" s="119">
        <f>'ведомств. стр. 2025-2027'!H538</f>
        <v>112.4</v>
      </c>
      <c r="F490" s="119">
        <f>'ведомств. стр. 2025-2027'!I538</f>
        <v>112.4</v>
      </c>
      <c r="L490" s="210"/>
      <c r="M490" s="210"/>
      <c r="N490" s="210"/>
    </row>
    <row r="491" spans="1:14" s="96" customFormat="1" ht="51" x14ac:dyDescent="0.2">
      <c r="A491" s="146" t="s">
        <v>845</v>
      </c>
      <c r="B491" s="73" t="s">
        <v>412</v>
      </c>
      <c r="C491" s="73"/>
      <c r="D491" s="116">
        <f t="shared" ref="D491:F492" si="169">D492</f>
        <v>985</v>
      </c>
      <c r="E491" s="116">
        <f t="shared" si="169"/>
        <v>985</v>
      </c>
      <c r="F491" s="116">
        <f t="shared" si="169"/>
        <v>985</v>
      </c>
      <c r="L491" s="210"/>
      <c r="M491" s="210"/>
      <c r="N491" s="210"/>
    </row>
    <row r="492" spans="1:14" s="96" customFormat="1" ht="25.5" x14ac:dyDescent="0.2">
      <c r="A492" s="23" t="s">
        <v>229</v>
      </c>
      <c r="B492" s="75" t="s">
        <v>413</v>
      </c>
      <c r="C492" s="75"/>
      <c r="D492" s="119">
        <f t="shared" si="169"/>
        <v>985</v>
      </c>
      <c r="E492" s="119">
        <f t="shared" si="169"/>
        <v>985</v>
      </c>
      <c r="F492" s="119">
        <f t="shared" si="169"/>
        <v>985</v>
      </c>
      <c r="L492" s="210"/>
      <c r="M492" s="210"/>
      <c r="N492" s="210"/>
    </row>
    <row r="493" spans="1:14" s="96" customFormat="1" ht="25.5" x14ac:dyDescent="0.2">
      <c r="A493" s="24" t="s">
        <v>226</v>
      </c>
      <c r="B493" s="75" t="s">
        <v>413</v>
      </c>
      <c r="C493" s="75" t="s">
        <v>59</v>
      </c>
      <c r="D493" s="119">
        <f>'ведомств. стр. 2025-2027'!G558</f>
        <v>985</v>
      </c>
      <c r="E493" s="119">
        <f>'ведомств. стр. 2025-2027'!H558</f>
        <v>985</v>
      </c>
      <c r="F493" s="119">
        <f>'ведомств. стр. 2025-2027'!I558</f>
        <v>985</v>
      </c>
      <c r="L493" s="210"/>
      <c r="M493" s="210"/>
      <c r="N493" s="210"/>
    </row>
    <row r="494" spans="1:14" s="96" customFormat="1" ht="27" x14ac:dyDescent="0.2">
      <c r="A494" s="112" t="s">
        <v>766</v>
      </c>
      <c r="B494" s="111" t="s">
        <v>409</v>
      </c>
      <c r="C494" s="111"/>
      <c r="D494" s="118">
        <f t="shared" ref="D494:F495" si="170">D495</f>
        <v>46110.5</v>
      </c>
      <c r="E494" s="118">
        <f t="shared" si="170"/>
        <v>47890.8</v>
      </c>
      <c r="F494" s="118">
        <f t="shared" si="170"/>
        <v>49740.800000000003</v>
      </c>
      <c r="L494" s="210"/>
      <c r="M494" s="210"/>
      <c r="N494" s="210"/>
    </row>
    <row r="495" spans="1:14" s="96" customFormat="1" ht="38.25" x14ac:dyDescent="0.2">
      <c r="A495" s="72" t="s">
        <v>808</v>
      </c>
      <c r="B495" s="73" t="s">
        <v>410</v>
      </c>
      <c r="C495" s="73"/>
      <c r="D495" s="116">
        <f t="shared" si="170"/>
        <v>46110.5</v>
      </c>
      <c r="E495" s="116">
        <f t="shared" si="170"/>
        <v>47890.8</v>
      </c>
      <c r="F495" s="116">
        <f t="shared" si="170"/>
        <v>49740.800000000003</v>
      </c>
      <c r="L495" s="210"/>
      <c r="M495" s="210"/>
      <c r="N495" s="210"/>
    </row>
    <row r="496" spans="1:14" s="96" customFormat="1" ht="12.75" x14ac:dyDescent="0.2">
      <c r="A496" s="24" t="s">
        <v>138</v>
      </c>
      <c r="B496" s="75" t="s">
        <v>411</v>
      </c>
      <c r="C496" s="75"/>
      <c r="D496" s="119">
        <f>D497+D498</f>
        <v>46110.5</v>
      </c>
      <c r="E496" s="119">
        <f t="shared" ref="E496:F496" si="171">E497+E498</f>
        <v>47890.8</v>
      </c>
      <c r="F496" s="119">
        <f t="shared" si="171"/>
        <v>49740.800000000003</v>
      </c>
      <c r="L496" s="210"/>
      <c r="M496" s="210"/>
      <c r="N496" s="210"/>
    </row>
    <row r="497" spans="1:14" s="96" customFormat="1" ht="38.25" x14ac:dyDescent="0.2">
      <c r="A497" s="24" t="s">
        <v>225</v>
      </c>
      <c r="B497" s="75" t="s">
        <v>411</v>
      </c>
      <c r="C497" s="75" t="s">
        <v>66</v>
      </c>
      <c r="D497" s="119">
        <f>'ведомств. стр. 2025-2027'!G542</f>
        <v>44499.7</v>
      </c>
      <c r="E497" s="119">
        <f>'ведомств. стр. 2025-2027'!H542</f>
        <v>46280</v>
      </c>
      <c r="F497" s="119">
        <f>'ведомств. стр. 2025-2027'!I542</f>
        <v>48130</v>
      </c>
      <c r="L497" s="210"/>
      <c r="M497" s="210"/>
      <c r="N497" s="210"/>
    </row>
    <row r="498" spans="1:14" s="96" customFormat="1" ht="25.5" x14ac:dyDescent="0.2">
      <c r="A498" s="24" t="s">
        <v>226</v>
      </c>
      <c r="B498" s="75" t="s">
        <v>411</v>
      </c>
      <c r="C498" s="75" t="s">
        <v>59</v>
      </c>
      <c r="D498" s="119">
        <f>'ведомств. стр. 2025-2027'!G543</f>
        <v>1610.8</v>
      </c>
      <c r="E498" s="119">
        <f>'ведомств. стр. 2025-2027'!H543</f>
        <v>1610.8</v>
      </c>
      <c r="F498" s="119">
        <f>'ведомств. стр. 2025-2027'!I543</f>
        <v>1610.8</v>
      </c>
      <c r="L498" s="210"/>
      <c r="M498" s="210"/>
      <c r="N498" s="210"/>
    </row>
    <row r="499" spans="1:14" s="96" customFormat="1" ht="25.5" x14ac:dyDescent="0.2">
      <c r="A499" s="81" t="s">
        <v>566</v>
      </c>
      <c r="B499" s="80" t="s">
        <v>310</v>
      </c>
      <c r="C499" s="80"/>
      <c r="D499" s="117">
        <f>D500+D506+D510</f>
        <v>703551.9</v>
      </c>
      <c r="E499" s="117">
        <f>E500+E506+E510</f>
        <v>111655.5</v>
      </c>
      <c r="F499" s="117">
        <f>F500+F506+F510</f>
        <v>78721.899999999994</v>
      </c>
      <c r="I499" s="194"/>
      <c r="J499" s="194"/>
      <c r="K499" s="194"/>
      <c r="L499" s="210"/>
      <c r="M499" s="210"/>
      <c r="N499" s="210"/>
    </row>
    <row r="500" spans="1:14" s="96" customFormat="1" ht="25.5" x14ac:dyDescent="0.2">
      <c r="A500" s="72" t="s">
        <v>837</v>
      </c>
      <c r="B500" s="73" t="s">
        <v>602</v>
      </c>
      <c r="C500" s="73"/>
      <c r="D500" s="116">
        <f>D501+D503</f>
        <v>6076.5999999999995</v>
      </c>
      <c r="E500" s="116">
        <f t="shared" ref="E500:F500" si="172">E501+E503</f>
        <v>420</v>
      </c>
      <c r="F500" s="116">
        <f t="shared" si="172"/>
        <v>420</v>
      </c>
      <c r="L500" s="210"/>
      <c r="M500" s="210"/>
      <c r="N500" s="210"/>
    </row>
    <row r="501" spans="1:14" s="96" customFormat="1" ht="38.25" x14ac:dyDescent="0.2">
      <c r="A501" s="24" t="s">
        <v>603</v>
      </c>
      <c r="B501" s="75" t="s">
        <v>604</v>
      </c>
      <c r="C501" s="75"/>
      <c r="D501" s="119">
        <f>D502</f>
        <v>458.2</v>
      </c>
      <c r="E501" s="119">
        <f t="shared" ref="E501:F501" si="173">E502</f>
        <v>420</v>
      </c>
      <c r="F501" s="119">
        <f t="shared" si="173"/>
        <v>420</v>
      </c>
      <c r="L501" s="210"/>
      <c r="M501" s="210"/>
      <c r="N501" s="210"/>
    </row>
    <row r="502" spans="1:14" s="96" customFormat="1" ht="25.5" x14ac:dyDescent="0.2">
      <c r="A502" s="24" t="s">
        <v>226</v>
      </c>
      <c r="B502" s="75" t="s">
        <v>604</v>
      </c>
      <c r="C502" s="75" t="s">
        <v>59</v>
      </c>
      <c r="D502" s="119">
        <f>'ведомств. стр. 2025-2027'!G963</f>
        <v>458.2</v>
      </c>
      <c r="E502" s="119">
        <f>'ведомств. стр. 2025-2027'!H963</f>
        <v>420</v>
      </c>
      <c r="F502" s="119">
        <f>'ведомств. стр. 2025-2027'!I963</f>
        <v>420</v>
      </c>
      <c r="L502" s="210"/>
      <c r="M502" s="210"/>
      <c r="N502" s="210"/>
    </row>
    <row r="503" spans="1:14" s="96" customFormat="1" ht="25.5" x14ac:dyDescent="0.2">
      <c r="A503" s="24" t="s">
        <v>724</v>
      </c>
      <c r="B503" s="75" t="s">
        <v>725</v>
      </c>
      <c r="C503" s="75"/>
      <c r="D503" s="119">
        <f>D504</f>
        <v>5618.4</v>
      </c>
      <c r="E503" s="119">
        <f t="shared" ref="E503:F504" si="174">E504</f>
        <v>0</v>
      </c>
      <c r="F503" s="119">
        <f t="shared" si="174"/>
        <v>0</v>
      </c>
      <c r="L503" s="210"/>
      <c r="M503" s="210"/>
      <c r="N503" s="210"/>
    </row>
    <row r="504" spans="1:14" s="96" customFormat="1" ht="38.25" x14ac:dyDescent="0.2">
      <c r="A504" s="24" t="s">
        <v>726</v>
      </c>
      <c r="B504" s="75" t="s">
        <v>727</v>
      </c>
      <c r="C504" s="75"/>
      <c r="D504" s="119">
        <f>D505</f>
        <v>5618.4</v>
      </c>
      <c r="E504" s="119">
        <f t="shared" si="174"/>
        <v>0</v>
      </c>
      <c r="F504" s="119">
        <f t="shared" si="174"/>
        <v>0</v>
      </c>
      <c r="L504" s="210"/>
      <c r="M504" s="210"/>
      <c r="N504" s="210"/>
    </row>
    <row r="505" spans="1:14" s="96" customFormat="1" ht="12.75" x14ac:dyDescent="0.2">
      <c r="A505" s="24" t="s">
        <v>95</v>
      </c>
      <c r="B505" s="75" t="s">
        <v>727</v>
      </c>
      <c r="C505" s="75" t="s">
        <v>62</v>
      </c>
      <c r="D505" s="119">
        <f>'ведомств. стр. 2025-2027'!G966</f>
        <v>5618.4</v>
      </c>
      <c r="E505" s="119">
        <f>'ведомств. стр. 2025-2027'!H966</f>
        <v>0</v>
      </c>
      <c r="F505" s="119">
        <f>'ведомств. стр. 2025-2027'!I966</f>
        <v>0</v>
      </c>
      <c r="L505" s="210"/>
      <c r="M505" s="210"/>
      <c r="N505" s="210"/>
    </row>
    <row r="506" spans="1:14" s="96" customFormat="1" ht="25.5" x14ac:dyDescent="0.2">
      <c r="A506" s="72" t="s">
        <v>838</v>
      </c>
      <c r="B506" s="73" t="s">
        <v>644</v>
      </c>
      <c r="C506" s="73"/>
      <c r="D506" s="116">
        <f>D507+D4607</f>
        <v>8752.7999999999993</v>
      </c>
      <c r="E506" s="116">
        <f>E507+E4607</f>
        <v>1000</v>
      </c>
      <c r="F506" s="116">
        <f>F507+F4607</f>
        <v>0</v>
      </c>
      <c r="L506" s="210"/>
      <c r="M506" s="210"/>
      <c r="N506" s="210"/>
    </row>
    <row r="507" spans="1:14" s="96" customFormat="1" ht="25.5" x14ac:dyDescent="0.2">
      <c r="A507" s="24" t="s">
        <v>646</v>
      </c>
      <c r="B507" s="75" t="s">
        <v>645</v>
      </c>
      <c r="C507" s="75"/>
      <c r="D507" s="119">
        <f>D508+D509</f>
        <v>8752.7999999999993</v>
      </c>
      <c r="E507" s="119">
        <f t="shared" ref="E507:F507" si="175">E508+E509</f>
        <v>1000</v>
      </c>
      <c r="F507" s="119">
        <f t="shared" si="175"/>
        <v>0</v>
      </c>
      <c r="L507" s="210"/>
      <c r="M507" s="210"/>
      <c r="N507" s="210"/>
    </row>
    <row r="508" spans="1:14" s="96" customFormat="1" ht="25.5" x14ac:dyDescent="0.2">
      <c r="A508" s="24" t="s">
        <v>226</v>
      </c>
      <c r="B508" s="75" t="s">
        <v>645</v>
      </c>
      <c r="C508" s="75" t="s">
        <v>59</v>
      </c>
      <c r="D508" s="119">
        <f>'ведомств. стр. 2025-2027'!G969</f>
        <v>8710.7999999999993</v>
      </c>
      <c r="E508" s="119">
        <f>'ведомств. стр. 2025-2027'!H969</f>
        <v>1000</v>
      </c>
      <c r="F508" s="119">
        <f>'ведомств. стр. 2025-2027'!I969</f>
        <v>0</v>
      </c>
      <c r="L508" s="210"/>
      <c r="M508" s="210"/>
      <c r="N508" s="210"/>
    </row>
    <row r="509" spans="1:14" s="96" customFormat="1" ht="12.75" x14ac:dyDescent="0.2">
      <c r="A509" s="24" t="s">
        <v>227</v>
      </c>
      <c r="B509" s="75" t="s">
        <v>645</v>
      </c>
      <c r="C509" s="75" t="s">
        <v>193</v>
      </c>
      <c r="D509" s="119">
        <f>'ведомств. стр. 2025-2027'!G970</f>
        <v>42</v>
      </c>
      <c r="E509" s="119">
        <f>'ведомств. стр. 2025-2027'!H970</f>
        <v>0</v>
      </c>
      <c r="F509" s="119">
        <f>'ведомств. стр. 2025-2027'!I970</f>
        <v>0</v>
      </c>
      <c r="L509" s="210"/>
      <c r="M509" s="210"/>
      <c r="N509" s="210"/>
    </row>
    <row r="510" spans="1:14" s="96" customFormat="1" ht="25.5" x14ac:dyDescent="0.2">
      <c r="A510" s="72" t="s">
        <v>839</v>
      </c>
      <c r="B510" s="73" t="s">
        <v>942</v>
      </c>
      <c r="C510" s="73"/>
      <c r="D510" s="116">
        <f>D511+D513</f>
        <v>688722.5</v>
      </c>
      <c r="E510" s="116">
        <f t="shared" ref="E510:F510" si="176">E511+E513</f>
        <v>110235.5</v>
      </c>
      <c r="F510" s="116">
        <f t="shared" si="176"/>
        <v>78301.899999999994</v>
      </c>
      <c r="L510" s="210"/>
      <c r="M510" s="210"/>
      <c r="N510" s="210"/>
    </row>
    <row r="511" spans="1:14" s="96" customFormat="1" ht="38.25" x14ac:dyDescent="0.2">
      <c r="A511" s="24" t="s">
        <v>944</v>
      </c>
      <c r="B511" s="75" t="s">
        <v>943</v>
      </c>
      <c r="C511" s="75"/>
      <c r="D511" s="119">
        <f>D512</f>
        <v>180785.30000000002</v>
      </c>
      <c r="E511" s="119">
        <f t="shared" ref="E511:F511" si="177">E512</f>
        <v>27182.7</v>
      </c>
      <c r="F511" s="119">
        <f t="shared" si="177"/>
        <v>0</v>
      </c>
      <c r="L511" s="210"/>
      <c r="M511" s="210"/>
      <c r="N511" s="210"/>
    </row>
    <row r="512" spans="1:14" s="96" customFormat="1" ht="25.5" x14ac:dyDescent="0.2">
      <c r="A512" s="24" t="s">
        <v>226</v>
      </c>
      <c r="B512" s="75" t="s">
        <v>943</v>
      </c>
      <c r="C512" s="75" t="s">
        <v>59</v>
      </c>
      <c r="D512" s="119">
        <f>'ведомств. стр. 2025-2027'!G973</f>
        <v>180785.30000000002</v>
      </c>
      <c r="E512" s="119">
        <f>'ведомств. стр. 2025-2027'!H973</f>
        <v>27182.7</v>
      </c>
      <c r="F512" s="119">
        <f>'ведомств. стр. 2025-2027'!I973</f>
        <v>0</v>
      </c>
      <c r="L512" s="210"/>
      <c r="M512" s="210"/>
      <c r="N512" s="210"/>
    </row>
    <row r="513" spans="1:14" s="96" customFormat="1" ht="12.75" x14ac:dyDescent="0.2">
      <c r="A513" s="24" t="s">
        <v>334</v>
      </c>
      <c r="B513" s="75" t="s">
        <v>945</v>
      </c>
      <c r="C513" s="75"/>
      <c r="D513" s="119">
        <f>D514</f>
        <v>507937.2</v>
      </c>
      <c r="E513" s="119">
        <f t="shared" ref="E513:F513" si="178">E514</f>
        <v>83052.800000000003</v>
      </c>
      <c r="F513" s="119">
        <f t="shared" si="178"/>
        <v>78301.899999999994</v>
      </c>
      <c r="L513" s="210"/>
      <c r="M513" s="210"/>
      <c r="N513" s="210"/>
    </row>
    <row r="514" spans="1:14" s="96" customFormat="1" ht="25.5" x14ac:dyDescent="0.2">
      <c r="A514" s="24" t="s">
        <v>226</v>
      </c>
      <c r="B514" s="75" t="s">
        <v>945</v>
      </c>
      <c r="C514" s="75" t="s">
        <v>59</v>
      </c>
      <c r="D514" s="119">
        <f>'ведомств. стр. 2025-2027'!G975</f>
        <v>507937.2</v>
      </c>
      <c r="E514" s="119">
        <f>'ведомств. стр. 2025-2027'!H975</f>
        <v>83052.800000000003</v>
      </c>
      <c r="F514" s="119">
        <f>'ведомств. стр. 2025-2027'!I975</f>
        <v>78301.899999999994</v>
      </c>
      <c r="L514" s="210"/>
      <c r="M514" s="210"/>
      <c r="N514" s="210"/>
    </row>
    <row r="515" spans="1:14" s="96" customFormat="1" ht="31.5" customHeight="1" x14ac:dyDescent="0.2">
      <c r="A515" s="145" t="s">
        <v>484</v>
      </c>
      <c r="B515" s="80" t="s">
        <v>485</v>
      </c>
      <c r="C515" s="80"/>
      <c r="D515" s="117">
        <f>D516+D526</f>
        <v>1042.2</v>
      </c>
      <c r="E515" s="117">
        <f>E516+E526</f>
        <v>905.2</v>
      </c>
      <c r="F515" s="117">
        <f>F516+F526</f>
        <v>905.2</v>
      </c>
      <c r="I515" s="194"/>
      <c r="J515" s="194"/>
      <c r="K515" s="194"/>
      <c r="L515" s="210"/>
      <c r="M515" s="210"/>
      <c r="N515" s="210"/>
    </row>
    <row r="516" spans="1:14" s="96" customFormat="1" ht="13.5" x14ac:dyDescent="0.2">
      <c r="A516" s="164" t="s">
        <v>772</v>
      </c>
      <c r="B516" s="111" t="s">
        <v>486</v>
      </c>
      <c r="C516" s="111"/>
      <c r="D516" s="118">
        <f>D517</f>
        <v>365.2</v>
      </c>
      <c r="E516" s="118">
        <f>E517</f>
        <v>365.20000000000005</v>
      </c>
      <c r="F516" s="118">
        <f>F517</f>
        <v>365.20000000000005</v>
      </c>
      <c r="L516" s="210"/>
      <c r="M516" s="210"/>
      <c r="N516" s="210"/>
    </row>
    <row r="517" spans="1:14" s="96" customFormat="1" ht="30" customHeight="1" x14ac:dyDescent="0.2">
      <c r="A517" s="146" t="s">
        <v>823</v>
      </c>
      <c r="B517" s="73" t="s">
        <v>487</v>
      </c>
      <c r="C517" s="73"/>
      <c r="D517" s="116">
        <f>D518+D520+D522+D524</f>
        <v>365.2</v>
      </c>
      <c r="E517" s="116">
        <f t="shared" ref="E517:F517" si="179">E518+E520+E522+E524</f>
        <v>365.20000000000005</v>
      </c>
      <c r="F517" s="116">
        <f t="shared" si="179"/>
        <v>365.20000000000005</v>
      </c>
      <c r="L517" s="210"/>
      <c r="M517" s="210"/>
      <c r="N517" s="210"/>
    </row>
    <row r="518" spans="1:14" s="96" customFormat="1" ht="25.5" x14ac:dyDescent="0.2">
      <c r="A518" s="23" t="s">
        <v>145</v>
      </c>
      <c r="B518" s="75" t="s">
        <v>488</v>
      </c>
      <c r="C518" s="75"/>
      <c r="D518" s="119">
        <f>D519</f>
        <v>107.7</v>
      </c>
      <c r="E518" s="119">
        <f t="shared" ref="E518:F518" si="180">E519</f>
        <v>112.2</v>
      </c>
      <c r="F518" s="119">
        <f t="shared" si="180"/>
        <v>112.2</v>
      </c>
      <c r="L518" s="210"/>
      <c r="M518" s="210"/>
      <c r="N518" s="210"/>
    </row>
    <row r="519" spans="1:14" s="96" customFormat="1" ht="25.5" x14ac:dyDescent="0.2">
      <c r="A519" s="24" t="s">
        <v>226</v>
      </c>
      <c r="B519" s="75" t="s">
        <v>488</v>
      </c>
      <c r="C519" s="75" t="s">
        <v>59</v>
      </c>
      <c r="D519" s="119">
        <f>'ведомств. стр. 2025-2027'!G723</f>
        <v>107.7</v>
      </c>
      <c r="E519" s="119">
        <f>'ведомств. стр. 2025-2027'!H723</f>
        <v>112.2</v>
      </c>
      <c r="F519" s="119">
        <f>'ведомств. стр. 2025-2027'!I723</f>
        <v>112.2</v>
      </c>
      <c r="L519" s="210"/>
      <c r="M519" s="210"/>
      <c r="N519" s="210"/>
    </row>
    <row r="520" spans="1:14" s="96" customFormat="1" ht="25.5" x14ac:dyDescent="0.2">
      <c r="A520" s="23" t="s">
        <v>146</v>
      </c>
      <c r="B520" s="75" t="s">
        <v>489</v>
      </c>
      <c r="C520" s="75"/>
      <c r="D520" s="119">
        <f>D521</f>
        <v>107.7</v>
      </c>
      <c r="E520" s="119">
        <f>E521</f>
        <v>110.4</v>
      </c>
      <c r="F520" s="119">
        <f>F521</f>
        <v>110.4</v>
      </c>
      <c r="L520" s="210"/>
      <c r="M520" s="210"/>
      <c r="N520" s="210"/>
    </row>
    <row r="521" spans="1:14" s="96" customFormat="1" ht="25.5" x14ac:dyDescent="0.2">
      <c r="A521" s="24" t="s">
        <v>226</v>
      </c>
      <c r="B521" s="75" t="s">
        <v>489</v>
      </c>
      <c r="C521" s="75" t="s">
        <v>59</v>
      </c>
      <c r="D521" s="119">
        <f>'ведомств. стр. 2025-2027'!G725</f>
        <v>107.7</v>
      </c>
      <c r="E521" s="119">
        <f>'ведомств. стр. 2025-2027'!H725</f>
        <v>110.4</v>
      </c>
      <c r="F521" s="119">
        <f>'ведомств. стр. 2025-2027'!I725</f>
        <v>110.4</v>
      </c>
      <c r="L521" s="210"/>
      <c r="M521" s="210"/>
      <c r="N521" s="210"/>
    </row>
    <row r="522" spans="1:14" s="96" customFormat="1" ht="12.75" x14ac:dyDescent="0.2">
      <c r="A522" s="23" t="s">
        <v>147</v>
      </c>
      <c r="B522" s="75" t="s">
        <v>490</v>
      </c>
      <c r="C522" s="75"/>
      <c r="D522" s="119">
        <f>D523</f>
        <v>95</v>
      </c>
      <c r="E522" s="119">
        <f>E523</f>
        <v>142.6</v>
      </c>
      <c r="F522" s="119">
        <f>F523</f>
        <v>142.6</v>
      </c>
      <c r="L522" s="210"/>
      <c r="M522" s="210"/>
      <c r="N522" s="210"/>
    </row>
    <row r="523" spans="1:14" s="96" customFormat="1" ht="25.5" x14ac:dyDescent="0.2">
      <c r="A523" s="24" t="s">
        <v>226</v>
      </c>
      <c r="B523" s="75" t="s">
        <v>490</v>
      </c>
      <c r="C523" s="75" t="s">
        <v>59</v>
      </c>
      <c r="D523" s="119">
        <f>'ведомств. стр. 2025-2027'!G727</f>
        <v>95</v>
      </c>
      <c r="E523" s="119">
        <f>'ведомств. стр. 2025-2027'!H727</f>
        <v>142.6</v>
      </c>
      <c r="F523" s="119">
        <f>'ведомств. стр. 2025-2027'!I727</f>
        <v>142.6</v>
      </c>
      <c r="L523" s="210"/>
      <c r="M523" s="210"/>
      <c r="N523" s="210"/>
    </row>
    <row r="524" spans="1:14" s="96" customFormat="1" ht="25.5" x14ac:dyDescent="0.2">
      <c r="A524" s="24" t="s">
        <v>1015</v>
      </c>
      <c r="B524" s="75" t="s">
        <v>1014</v>
      </c>
      <c r="C524" s="75"/>
      <c r="D524" s="119">
        <f>D525</f>
        <v>54.8</v>
      </c>
      <c r="E524" s="119">
        <f t="shared" ref="E524:F524" si="181">E525</f>
        <v>0</v>
      </c>
      <c r="F524" s="119">
        <f t="shared" si="181"/>
        <v>0</v>
      </c>
      <c r="L524" s="210"/>
      <c r="M524" s="210"/>
      <c r="N524" s="210"/>
    </row>
    <row r="525" spans="1:14" s="96" customFormat="1" ht="25.5" x14ac:dyDescent="0.2">
      <c r="A525" s="24" t="s">
        <v>226</v>
      </c>
      <c r="B525" s="75" t="s">
        <v>1014</v>
      </c>
      <c r="C525" s="75" t="s">
        <v>59</v>
      </c>
      <c r="D525" s="119">
        <f>'ведомств. стр. 2025-2027'!G729</f>
        <v>54.8</v>
      </c>
      <c r="E525" s="119">
        <f>'ведомств. стр. 2025-2027'!H729</f>
        <v>0</v>
      </c>
      <c r="F525" s="119">
        <f>'ведомств. стр. 2025-2027'!I729</f>
        <v>0</v>
      </c>
      <c r="L525" s="210"/>
      <c r="M525" s="210"/>
      <c r="N525" s="210"/>
    </row>
    <row r="526" spans="1:14" s="96" customFormat="1" ht="13.5" x14ac:dyDescent="0.2">
      <c r="A526" s="164" t="s">
        <v>773</v>
      </c>
      <c r="B526" s="111" t="s">
        <v>491</v>
      </c>
      <c r="C526" s="111"/>
      <c r="D526" s="118">
        <f>D527+D530</f>
        <v>677</v>
      </c>
      <c r="E526" s="118">
        <f t="shared" ref="E526:F526" si="182">E527+E530</f>
        <v>540</v>
      </c>
      <c r="F526" s="118">
        <f t="shared" si="182"/>
        <v>540</v>
      </c>
      <c r="L526" s="210"/>
      <c r="M526" s="210"/>
      <c r="N526" s="210"/>
    </row>
    <row r="527" spans="1:14" s="96" customFormat="1" ht="12.75" x14ac:dyDescent="0.2">
      <c r="A527" s="72" t="s">
        <v>824</v>
      </c>
      <c r="B527" s="73" t="s">
        <v>492</v>
      </c>
      <c r="C527" s="73"/>
      <c r="D527" s="116">
        <f t="shared" ref="D527:F528" si="183">D528</f>
        <v>540</v>
      </c>
      <c r="E527" s="116">
        <f t="shared" si="183"/>
        <v>540</v>
      </c>
      <c r="F527" s="116">
        <f t="shared" si="183"/>
        <v>540</v>
      </c>
      <c r="L527" s="210"/>
      <c r="M527" s="210"/>
      <c r="N527" s="210"/>
    </row>
    <row r="528" spans="1:14" s="96" customFormat="1" ht="38.25" x14ac:dyDescent="0.2">
      <c r="A528" s="24" t="s">
        <v>572</v>
      </c>
      <c r="B528" s="75" t="s">
        <v>493</v>
      </c>
      <c r="C528" s="75"/>
      <c r="D528" s="119">
        <f t="shared" si="183"/>
        <v>540</v>
      </c>
      <c r="E528" s="119">
        <f t="shared" si="183"/>
        <v>540</v>
      </c>
      <c r="F528" s="119">
        <f t="shared" si="183"/>
        <v>540</v>
      </c>
      <c r="L528" s="210"/>
      <c r="M528" s="210"/>
      <c r="N528" s="210"/>
    </row>
    <row r="529" spans="1:14" s="96" customFormat="1" ht="12.75" x14ac:dyDescent="0.2">
      <c r="A529" s="24" t="s">
        <v>95</v>
      </c>
      <c r="B529" s="75" t="s">
        <v>493</v>
      </c>
      <c r="C529" s="75" t="s">
        <v>62</v>
      </c>
      <c r="D529" s="119">
        <f>'ведомств. стр. 2025-2027'!G733</f>
        <v>540</v>
      </c>
      <c r="E529" s="119">
        <f>'ведомств. стр. 2025-2027'!H733</f>
        <v>540</v>
      </c>
      <c r="F529" s="119">
        <f>'ведомств. стр. 2025-2027'!I733</f>
        <v>540</v>
      </c>
      <c r="L529" s="210"/>
      <c r="M529" s="210"/>
      <c r="N529" s="210"/>
    </row>
    <row r="530" spans="1:14" s="96" customFormat="1" ht="12.75" x14ac:dyDescent="0.2">
      <c r="A530" s="72" t="s">
        <v>956</v>
      </c>
      <c r="B530" s="73" t="s">
        <v>953</v>
      </c>
      <c r="C530" s="73"/>
      <c r="D530" s="116">
        <f>D531</f>
        <v>137</v>
      </c>
      <c r="E530" s="116">
        <f t="shared" ref="E530:F531" si="184">E531</f>
        <v>0</v>
      </c>
      <c r="F530" s="116">
        <f t="shared" si="184"/>
        <v>0</v>
      </c>
      <c r="L530" s="210"/>
      <c r="M530" s="210"/>
      <c r="N530" s="210"/>
    </row>
    <row r="531" spans="1:14" s="96" customFormat="1" ht="12.75" x14ac:dyDescent="0.2">
      <c r="A531" s="24" t="s">
        <v>955</v>
      </c>
      <c r="B531" s="75" t="s">
        <v>954</v>
      </c>
      <c r="C531" s="75"/>
      <c r="D531" s="119">
        <f>D532</f>
        <v>137</v>
      </c>
      <c r="E531" s="119">
        <f t="shared" si="184"/>
        <v>0</v>
      </c>
      <c r="F531" s="119">
        <f t="shared" si="184"/>
        <v>0</v>
      </c>
      <c r="L531" s="210"/>
      <c r="M531" s="210"/>
      <c r="N531" s="210"/>
    </row>
    <row r="532" spans="1:14" s="96" customFormat="1" ht="25.5" x14ac:dyDescent="0.2">
      <c r="A532" s="24" t="s">
        <v>226</v>
      </c>
      <c r="B532" s="75" t="s">
        <v>954</v>
      </c>
      <c r="C532" s="75" t="s">
        <v>59</v>
      </c>
      <c r="D532" s="119">
        <f>'ведомств. стр. 2025-2027'!G736</f>
        <v>137</v>
      </c>
      <c r="E532" s="119">
        <f>'ведомств. стр. 2025-2027'!H736</f>
        <v>0</v>
      </c>
      <c r="F532" s="119">
        <f>'ведомств. стр. 2025-2027'!I736</f>
        <v>0</v>
      </c>
      <c r="L532" s="210"/>
      <c r="M532" s="210"/>
      <c r="N532" s="210"/>
    </row>
    <row r="533" spans="1:14" s="96" customFormat="1" ht="38.25" x14ac:dyDescent="0.2">
      <c r="A533" s="81" t="s">
        <v>422</v>
      </c>
      <c r="B533" s="80" t="s">
        <v>423</v>
      </c>
      <c r="C533" s="80"/>
      <c r="D533" s="117">
        <f>D534+D550+D560+D577+D584</f>
        <v>79774.8</v>
      </c>
      <c r="E533" s="117">
        <f>E534+E550+E560+E577+E584</f>
        <v>51988.800000000003</v>
      </c>
      <c r="F533" s="117">
        <f>F534+F550+F560+F577+F584</f>
        <v>52755.499999999993</v>
      </c>
      <c r="I533" s="194"/>
      <c r="J533" s="194"/>
      <c r="K533" s="194"/>
      <c r="L533" s="210"/>
      <c r="M533" s="210"/>
      <c r="N533" s="210"/>
    </row>
    <row r="534" spans="1:14" s="96" customFormat="1" ht="13.5" x14ac:dyDescent="0.2">
      <c r="A534" s="112" t="s">
        <v>771</v>
      </c>
      <c r="B534" s="111" t="s">
        <v>424</v>
      </c>
      <c r="C534" s="111"/>
      <c r="D534" s="118">
        <f>D535+D544+D547</f>
        <v>134.20000000000002</v>
      </c>
      <c r="E534" s="118">
        <f>E535+E544+E547</f>
        <v>134.20000000000002</v>
      </c>
      <c r="F534" s="118">
        <f>F535+F544+F547</f>
        <v>134.20000000000002</v>
      </c>
      <c r="L534" s="210"/>
      <c r="M534" s="210"/>
      <c r="N534" s="210"/>
    </row>
    <row r="535" spans="1:14" s="96" customFormat="1" ht="25.5" x14ac:dyDescent="0.2">
      <c r="A535" s="146" t="s">
        <v>819</v>
      </c>
      <c r="B535" s="73" t="s">
        <v>425</v>
      </c>
      <c r="C535" s="73"/>
      <c r="D535" s="116">
        <f>D536+D538+D540+D542</f>
        <v>103.80000000000001</v>
      </c>
      <c r="E535" s="116">
        <f t="shared" ref="E535:F535" si="185">E536+E538+E540+E542</f>
        <v>103.80000000000001</v>
      </c>
      <c r="F535" s="116">
        <f t="shared" si="185"/>
        <v>103.80000000000001</v>
      </c>
      <c r="L535" s="210"/>
      <c r="M535" s="210"/>
      <c r="N535" s="210"/>
    </row>
    <row r="536" spans="1:14" s="96" customFormat="1" ht="51" x14ac:dyDescent="0.2">
      <c r="A536" s="23" t="s">
        <v>631</v>
      </c>
      <c r="B536" s="75" t="s">
        <v>426</v>
      </c>
      <c r="C536" s="75"/>
      <c r="D536" s="119">
        <f>D537</f>
        <v>41.8</v>
      </c>
      <c r="E536" s="119">
        <f>E537</f>
        <v>41.8</v>
      </c>
      <c r="F536" s="119">
        <f>F537</f>
        <v>41.8</v>
      </c>
      <c r="L536" s="210"/>
      <c r="M536" s="210"/>
      <c r="N536" s="210"/>
    </row>
    <row r="537" spans="1:14" s="96" customFormat="1" ht="25.5" x14ac:dyDescent="0.2">
      <c r="A537" s="24" t="s">
        <v>226</v>
      </c>
      <c r="B537" s="75" t="s">
        <v>426</v>
      </c>
      <c r="C537" s="75" t="s">
        <v>59</v>
      </c>
      <c r="D537" s="119">
        <f>'ведомств. стр. 2025-2027'!G673</f>
        <v>41.8</v>
      </c>
      <c r="E537" s="119">
        <f>'ведомств. стр. 2025-2027'!H673</f>
        <v>41.8</v>
      </c>
      <c r="F537" s="119">
        <f>'ведомств. стр. 2025-2027'!I673</f>
        <v>41.8</v>
      </c>
      <c r="L537" s="210"/>
      <c r="M537" s="210"/>
      <c r="N537" s="210"/>
    </row>
    <row r="538" spans="1:14" s="96" customFormat="1" ht="38.25" x14ac:dyDescent="0.2">
      <c r="A538" s="24" t="s">
        <v>313</v>
      </c>
      <c r="B538" s="75" t="s">
        <v>427</v>
      </c>
      <c r="C538" s="75"/>
      <c r="D538" s="119">
        <f>D539</f>
        <v>13</v>
      </c>
      <c r="E538" s="119">
        <f>E539</f>
        <v>13</v>
      </c>
      <c r="F538" s="119">
        <f>F539</f>
        <v>13</v>
      </c>
      <c r="L538" s="210"/>
      <c r="M538" s="210"/>
      <c r="N538" s="210"/>
    </row>
    <row r="539" spans="1:14" s="96" customFormat="1" ht="25.5" x14ac:dyDescent="0.2">
      <c r="A539" s="24" t="s">
        <v>226</v>
      </c>
      <c r="B539" s="75" t="s">
        <v>427</v>
      </c>
      <c r="C539" s="75" t="s">
        <v>59</v>
      </c>
      <c r="D539" s="119">
        <f>'ведомств. стр. 2025-2027'!G675</f>
        <v>13</v>
      </c>
      <c r="E539" s="119">
        <f>'ведомств. стр. 2025-2027'!H675</f>
        <v>13</v>
      </c>
      <c r="F539" s="119">
        <f>'ведомств. стр. 2025-2027'!I675</f>
        <v>13</v>
      </c>
      <c r="L539" s="210"/>
      <c r="M539" s="210"/>
      <c r="N539" s="210"/>
    </row>
    <row r="540" spans="1:14" s="96" customFormat="1" ht="12.75" x14ac:dyDescent="0.2">
      <c r="A540" s="24" t="s">
        <v>651</v>
      </c>
      <c r="B540" s="75" t="s">
        <v>650</v>
      </c>
      <c r="C540" s="75"/>
      <c r="D540" s="119">
        <f>D541</f>
        <v>25.1</v>
      </c>
      <c r="E540" s="119">
        <f t="shared" ref="E540:F540" si="186">E541</f>
        <v>25.1</v>
      </c>
      <c r="F540" s="119">
        <f t="shared" si="186"/>
        <v>25.1</v>
      </c>
      <c r="L540" s="210"/>
      <c r="M540" s="210"/>
      <c r="N540" s="210"/>
    </row>
    <row r="541" spans="1:14" s="96" customFormat="1" ht="25.5" x14ac:dyDescent="0.2">
      <c r="A541" s="24" t="s">
        <v>226</v>
      </c>
      <c r="B541" s="75" t="s">
        <v>650</v>
      </c>
      <c r="C541" s="75" t="s">
        <v>59</v>
      </c>
      <c r="D541" s="119">
        <f>'ведомств. стр. 2025-2027'!G677</f>
        <v>25.1</v>
      </c>
      <c r="E541" s="119">
        <f>'ведомств. стр. 2025-2027'!H677</f>
        <v>25.1</v>
      </c>
      <c r="F541" s="119">
        <f>'ведомств. стр. 2025-2027'!I677</f>
        <v>25.1</v>
      </c>
      <c r="L541" s="210"/>
      <c r="M541" s="210"/>
      <c r="N541" s="210"/>
    </row>
    <row r="542" spans="1:14" s="96" customFormat="1" ht="25.5" x14ac:dyDescent="0.2">
      <c r="A542" s="24" t="s">
        <v>653</v>
      </c>
      <c r="B542" s="75" t="s">
        <v>652</v>
      </c>
      <c r="C542" s="75"/>
      <c r="D542" s="119">
        <f>D543</f>
        <v>23.9</v>
      </c>
      <c r="E542" s="119">
        <f t="shared" ref="E542:F542" si="187">E543</f>
        <v>23.9</v>
      </c>
      <c r="F542" s="119">
        <f t="shared" si="187"/>
        <v>23.9</v>
      </c>
      <c r="L542" s="210"/>
      <c r="M542" s="210"/>
      <c r="N542" s="210"/>
    </row>
    <row r="543" spans="1:14" s="96" customFormat="1" ht="25.5" x14ac:dyDescent="0.2">
      <c r="A543" s="24" t="s">
        <v>226</v>
      </c>
      <c r="B543" s="75" t="s">
        <v>652</v>
      </c>
      <c r="C543" s="75" t="s">
        <v>59</v>
      </c>
      <c r="D543" s="119">
        <f>'ведомств. стр. 2025-2027'!G679</f>
        <v>23.9</v>
      </c>
      <c r="E543" s="119">
        <f>'ведомств. стр. 2025-2027'!H679</f>
        <v>23.9</v>
      </c>
      <c r="F543" s="119">
        <f>'ведомств. стр. 2025-2027'!I679</f>
        <v>23.9</v>
      </c>
      <c r="L543" s="210"/>
      <c r="M543" s="210"/>
      <c r="N543" s="210"/>
    </row>
    <row r="544" spans="1:14" s="96" customFormat="1" ht="25.5" x14ac:dyDescent="0.2">
      <c r="A544" s="72" t="s">
        <v>820</v>
      </c>
      <c r="B544" s="73" t="s">
        <v>428</v>
      </c>
      <c r="C544" s="73"/>
      <c r="D544" s="116">
        <f t="shared" ref="D544:F545" si="188">D545</f>
        <v>23.9</v>
      </c>
      <c r="E544" s="116">
        <f t="shared" si="188"/>
        <v>23.9</v>
      </c>
      <c r="F544" s="116">
        <f t="shared" si="188"/>
        <v>23.9</v>
      </c>
      <c r="L544" s="210"/>
      <c r="M544" s="210"/>
      <c r="N544" s="210"/>
    </row>
    <row r="545" spans="1:14" s="96" customFormat="1" ht="25.5" x14ac:dyDescent="0.2">
      <c r="A545" s="24" t="s">
        <v>97</v>
      </c>
      <c r="B545" s="75" t="s">
        <v>429</v>
      </c>
      <c r="C545" s="75"/>
      <c r="D545" s="119">
        <f t="shared" si="188"/>
        <v>23.9</v>
      </c>
      <c r="E545" s="119">
        <f t="shared" si="188"/>
        <v>23.9</v>
      </c>
      <c r="F545" s="119">
        <f t="shared" si="188"/>
        <v>23.9</v>
      </c>
      <c r="L545" s="210"/>
      <c r="M545" s="210"/>
      <c r="N545" s="210"/>
    </row>
    <row r="546" spans="1:14" s="96" customFormat="1" ht="25.5" x14ac:dyDescent="0.2">
      <c r="A546" s="24" t="s">
        <v>226</v>
      </c>
      <c r="B546" s="75" t="s">
        <v>429</v>
      </c>
      <c r="C546" s="75" t="s">
        <v>59</v>
      </c>
      <c r="D546" s="119">
        <f>'ведомств. стр. 2025-2027'!G682</f>
        <v>23.9</v>
      </c>
      <c r="E546" s="119">
        <f>'ведомств. стр. 2025-2027'!H682</f>
        <v>23.9</v>
      </c>
      <c r="F546" s="119">
        <f>'ведомств. стр. 2025-2027'!I682</f>
        <v>23.9</v>
      </c>
      <c r="L546" s="210"/>
      <c r="M546" s="210"/>
      <c r="N546" s="210"/>
    </row>
    <row r="547" spans="1:14" s="96" customFormat="1" ht="12.75" x14ac:dyDescent="0.2">
      <c r="A547" s="72" t="s">
        <v>821</v>
      </c>
      <c r="B547" s="73" t="s">
        <v>430</v>
      </c>
      <c r="C547" s="73"/>
      <c r="D547" s="116">
        <f t="shared" ref="D547:F548" si="189">D548</f>
        <v>6.5</v>
      </c>
      <c r="E547" s="116">
        <f t="shared" si="189"/>
        <v>6.5</v>
      </c>
      <c r="F547" s="116">
        <f t="shared" si="189"/>
        <v>6.5</v>
      </c>
      <c r="L547" s="210"/>
      <c r="M547" s="210"/>
      <c r="N547" s="210"/>
    </row>
    <row r="548" spans="1:14" s="96" customFormat="1" ht="12.75" x14ac:dyDescent="0.2">
      <c r="A548" s="24" t="s">
        <v>324</v>
      </c>
      <c r="B548" s="75" t="s">
        <v>431</v>
      </c>
      <c r="C548" s="75"/>
      <c r="D548" s="119">
        <f t="shared" si="189"/>
        <v>6.5</v>
      </c>
      <c r="E548" s="119">
        <f t="shared" si="189"/>
        <v>6.5</v>
      </c>
      <c r="F548" s="119">
        <f t="shared" si="189"/>
        <v>6.5</v>
      </c>
      <c r="L548" s="210"/>
      <c r="M548" s="210"/>
      <c r="N548" s="210"/>
    </row>
    <row r="549" spans="1:14" s="96" customFormat="1" ht="25.5" x14ac:dyDescent="0.2">
      <c r="A549" s="24" t="s">
        <v>226</v>
      </c>
      <c r="B549" s="75" t="s">
        <v>431</v>
      </c>
      <c r="C549" s="75" t="s">
        <v>59</v>
      </c>
      <c r="D549" s="119">
        <f>'ведомств. стр. 2025-2027'!G685</f>
        <v>6.5</v>
      </c>
      <c r="E549" s="119">
        <f>'ведомств. стр. 2025-2027'!H685</f>
        <v>6.5</v>
      </c>
      <c r="F549" s="119">
        <f>'ведомств. стр. 2025-2027'!I685</f>
        <v>6.5</v>
      </c>
      <c r="L549" s="210"/>
      <c r="M549" s="210"/>
      <c r="N549" s="210"/>
    </row>
    <row r="550" spans="1:14" s="96" customFormat="1" ht="27" x14ac:dyDescent="0.2">
      <c r="A550" s="112" t="s">
        <v>761</v>
      </c>
      <c r="B550" s="111" t="s">
        <v>432</v>
      </c>
      <c r="C550" s="111"/>
      <c r="D550" s="118">
        <f>D551</f>
        <v>48326.299999999996</v>
      </c>
      <c r="E550" s="118">
        <f t="shared" ref="E550:F550" si="190">E551</f>
        <v>42114.400000000001</v>
      </c>
      <c r="F550" s="118">
        <f t="shared" si="190"/>
        <v>42869.8</v>
      </c>
      <c r="L550" s="210"/>
      <c r="M550" s="210"/>
      <c r="N550" s="210"/>
    </row>
    <row r="551" spans="1:14" s="96" customFormat="1" ht="25.5" x14ac:dyDescent="0.2">
      <c r="A551" s="72" t="s">
        <v>799</v>
      </c>
      <c r="B551" s="73" t="s">
        <v>433</v>
      </c>
      <c r="C551" s="73"/>
      <c r="D551" s="116">
        <f>D552+D556</f>
        <v>48326.299999999996</v>
      </c>
      <c r="E551" s="116">
        <f t="shared" ref="E551:F551" si="191">E552+E556</f>
        <v>42114.400000000001</v>
      </c>
      <c r="F551" s="116">
        <f t="shared" si="191"/>
        <v>42869.8</v>
      </c>
      <c r="L551" s="210"/>
      <c r="M551" s="210"/>
      <c r="N551" s="210"/>
    </row>
    <row r="552" spans="1:14" s="96" customFormat="1" ht="12.75" x14ac:dyDescent="0.2">
      <c r="A552" s="24" t="s">
        <v>138</v>
      </c>
      <c r="B552" s="75" t="s">
        <v>434</v>
      </c>
      <c r="C552" s="75"/>
      <c r="D552" s="119">
        <f>D553+D554+D555</f>
        <v>18195.599999999999</v>
      </c>
      <c r="E552" s="119">
        <f>E553+E554+E555</f>
        <v>18889.3</v>
      </c>
      <c r="F552" s="119">
        <f>F553+F554+F555</f>
        <v>19610.8</v>
      </c>
      <c r="L552" s="210"/>
      <c r="M552" s="210"/>
      <c r="N552" s="210"/>
    </row>
    <row r="553" spans="1:14" s="96" customFormat="1" ht="38.25" x14ac:dyDescent="0.2">
      <c r="A553" s="24" t="s">
        <v>225</v>
      </c>
      <c r="B553" s="75" t="s">
        <v>434</v>
      </c>
      <c r="C553" s="75" t="s">
        <v>66</v>
      </c>
      <c r="D553" s="119">
        <f>'ведомств. стр. 2025-2027'!G480</f>
        <v>17342.8</v>
      </c>
      <c r="E553" s="119">
        <f>'ведомств. стр. 2025-2027'!H480</f>
        <v>18036.5</v>
      </c>
      <c r="F553" s="119">
        <f>'ведомств. стр. 2025-2027'!I480</f>
        <v>18758</v>
      </c>
      <c r="L553" s="210"/>
      <c r="M553" s="210"/>
      <c r="N553" s="210"/>
    </row>
    <row r="554" spans="1:14" s="96" customFormat="1" ht="25.5" x14ac:dyDescent="0.2">
      <c r="A554" s="24" t="s">
        <v>226</v>
      </c>
      <c r="B554" s="75" t="s">
        <v>434</v>
      </c>
      <c r="C554" s="75" t="s">
        <v>59</v>
      </c>
      <c r="D554" s="119">
        <f>'ведомств. стр. 2025-2027'!G481</f>
        <v>843.3</v>
      </c>
      <c r="E554" s="119">
        <f>'ведомств. стр. 2025-2027'!H481</f>
        <v>843.3</v>
      </c>
      <c r="F554" s="119">
        <f>'ведомств. стр. 2025-2027'!I481</f>
        <v>843.3</v>
      </c>
      <c r="L554" s="210"/>
      <c r="M554" s="210"/>
      <c r="N554" s="210"/>
    </row>
    <row r="555" spans="1:14" s="96" customFormat="1" ht="12.75" x14ac:dyDescent="0.2">
      <c r="A555" s="24" t="s">
        <v>95</v>
      </c>
      <c r="B555" s="75" t="s">
        <v>434</v>
      </c>
      <c r="C555" s="75" t="s">
        <v>62</v>
      </c>
      <c r="D555" s="119">
        <f>'ведомств. стр. 2025-2027'!G482</f>
        <v>9.5</v>
      </c>
      <c r="E555" s="119">
        <f>'ведомств. стр. 2025-2027'!H482</f>
        <v>9.5</v>
      </c>
      <c r="F555" s="119">
        <f>'ведомств. стр. 2025-2027'!I482</f>
        <v>9.5</v>
      </c>
      <c r="L555" s="210"/>
      <c r="M555" s="210"/>
      <c r="N555" s="210"/>
    </row>
    <row r="556" spans="1:14" s="96" customFormat="1" ht="12.75" x14ac:dyDescent="0.2">
      <c r="A556" s="25" t="s">
        <v>240</v>
      </c>
      <c r="B556" s="75" t="s">
        <v>435</v>
      </c>
      <c r="C556" s="75"/>
      <c r="D556" s="119">
        <f>D557+D558+D559</f>
        <v>30130.699999999997</v>
      </c>
      <c r="E556" s="119">
        <f>E557+E558+E559</f>
        <v>23225.100000000002</v>
      </c>
      <c r="F556" s="119">
        <f>F557+F558+F559</f>
        <v>23259</v>
      </c>
      <c r="L556" s="210"/>
      <c r="M556" s="210"/>
      <c r="N556" s="210"/>
    </row>
    <row r="557" spans="1:14" s="96" customFormat="1" ht="38.25" x14ac:dyDescent="0.2">
      <c r="A557" s="24" t="s">
        <v>225</v>
      </c>
      <c r="B557" s="75" t="s">
        <v>435</v>
      </c>
      <c r="C557" s="75" t="s">
        <v>66</v>
      </c>
      <c r="D557" s="119">
        <f>'ведомств. стр. 2025-2027'!G484</f>
        <v>27266.1</v>
      </c>
      <c r="E557" s="119">
        <f>'ведомств. стр. 2025-2027'!H484</f>
        <v>20942.7</v>
      </c>
      <c r="F557" s="119">
        <f>'ведомств. стр. 2025-2027'!I484</f>
        <v>20938</v>
      </c>
      <c r="L557" s="210"/>
      <c r="M557" s="210"/>
      <c r="N557" s="210"/>
    </row>
    <row r="558" spans="1:14" s="96" customFormat="1" ht="25.5" x14ac:dyDescent="0.2">
      <c r="A558" s="24" t="s">
        <v>226</v>
      </c>
      <c r="B558" s="75" t="s">
        <v>435</v>
      </c>
      <c r="C558" s="75" t="s">
        <v>59</v>
      </c>
      <c r="D558" s="119">
        <f>'ведомств. стр. 2025-2027'!G485</f>
        <v>2755.6</v>
      </c>
      <c r="E558" s="119">
        <f>'ведомств. стр. 2025-2027'!H485</f>
        <v>2278</v>
      </c>
      <c r="F558" s="119">
        <f>'ведомств. стр. 2025-2027'!I485</f>
        <v>2316.6</v>
      </c>
      <c r="L558" s="210"/>
      <c r="M558" s="210"/>
      <c r="N558" s="210"/>
    </row>
    <row r="559" spans="1:14" s="96" customFormat="1" ht="12.75" x14ac:dyDescent="0.2">
      <c r="A559" s="24" t="s">
        <v>95</v>
      </c>
      <c r="B559" s="75" t="s">
        <v>435</v>
      </c>
      <c r="C559" s="75" t="s">
        <v>62</v>
      </c>
      <c r="D559" s="119">
        <f>'ведомств. стр. 2025-2027'!G486</f>
        <v>109</v>
      </c>
      <c r="E559" s="119">
        <f>'ведомств. стр. 2025-2027'!H486</f>
        <v>4.4000000000000004</v>
      </c>
      <c r="F559" s="119">
        <f>'ведомств. стр. 2025-2027'!I486</f>
        <v>4.4000000000000004</v>
      </c>
      <c r="L559" s="210"/>
      <c r="M559" s="210"/>
      <c r="N559" s="210"/>
    </row>
    <row r="560" spans="1:14" s="96" customFormat="1" ht="27" x14ac:dyDescent="0.2">
      <c r="A560" s="112" t="s">
        <v>762</v>
      </c>
      <c r="B560" s="111" t="s">
        <v>436</v>
      </c>
      <c r="C560" s="111"/>
      <c r="D560" s="118">
        <f>D561+D567+D572</f>
        <v>5010.3999999999996</v>
      </c>
      <c r="E560" s="118">
        <f>E561+E567+E572</f>
        <v>1016.0999999999999</v>
      </c>
      <c r="F560" s="118">
        <f>F561+F567+F572</f>
        <v>1016.0999999999999</v>
      </c>
      <c r="L560" s="210"/>
      <c r="M560" s="210"/>
      <c r="N560" s="210"/>
    </row>
    <row r="561" spans="1:14" s="96" customFormat="1" ht="25.5" x14ac:dyDescent="0.2">
      <c r="A561" s="72" t="s">
        <v>800</v>
      </c>
      <c r="B561" s="73" t="s">
        <v>437</v>
      </c>
      <c r="C561" s="73"/>
      <c r="D561" s="116">
        <f>D562+D565</f>
        <v>519.9</v>
      </c>
      <c r="E561" s="116">
        <f>E562+E565</f>
        <v>519.9</v>
      </c>
      <c r="F561" s="116">
        <f>F562+F565</f>
        <v>519.9</v>
      </c>
      <c r="L561" s="210"/>
      <c r="M561" s="210"/>
      <c r="N561" s="210"/>
    </row>
    <row r="562" spans="1:14" s="96" customFormat="1" ht="25.5" x14ac:dyDescent="0.2">
      <c r="A562" s="23" t="s">
        <v>312</v>
      </c>
      <c r="B562" s="75" t="s">
        <v>438</v>
      </c>
      <c r="C562" s="75"/>
      <c r="D562" s="119">
        <f>D564+D563</f>
        <v>500</v>
      </c>
      <c r="E562" s="119">
        <f t="shared" ref="E562:F562" si="192">E564+E563</f>
        <v>500</v>
      </c>
      <c r="F562" s="119">
        <f t="shared" si="192"/>
        <v>500</v>
      </c>
      <c r="L562" s="210"/>
      <c r="M562" s="210"/>
      <c r="N562" s="210"/>
    </row>
    <row r="563" spans="1:14" s="96" customFormat="1" ht="25.5" x14ac:dyDescent="0.2">
      <c r="A563" s="24" t="s">
        <v>226</v>
      </c>
      <c r="B563" s="75" t="s">
        <v>438</v>
      </c>
      <c r="C563" s="75" t="s">
        <v>59</v>
      </c>
      <c r="D563" s="119">
        <f>'ведомств. стр. 2025-2027'!G490</f>
        <v>230.9</v>
      </c>
      <c r="E563" s="119">
        <f>'ведомств. стр. 2025-2027'!H490</f>
        <v>0</v>
      </c>
      <c r="F563" s="119">
        <f>'ведомств. стр. 2025-2027'!I490</f>
        <v>0</v>
      </c>
      <c r="L563" s="210"/>
      <c r="M563" s="210"/>
      <c r="N563" s="210"/>
    </row>
    <row r="564" spans="1:14" s="96" customFormat="1" ht="12.75" x14ac:dyDescent="0.2">
      <c r="A564" s="24" t="s">
        <v>95</v>
      </c>
      <c r="B564" s="75" t="s">
        <v>438</v>
      </c>
      <c r="C564" s="75" t="s">
        <v>62</v>
      </c>
      <c r="D564" s="119">
        <f>'ведомств. стр. 2025-2027'!G491</f>
        <v>269.10000000000002</v>
      </c>
      <c r="E564" s="119">
        <f>'ведомств. стр. 2025-2027'!H491</f>
        <v>500</v>
      </c>
      <c r="F564" s="119">
        <f>'ведомств. стр. 2025-2027'!I491</f>
        <v>500</v>
      </c>
      <c r="L564" s="210"/>
      <c r="M564" s="210"/>
      <c r="N564" s="210"/>
    </row>
    <row r="565" spans="1:14" s="96" customFormat="1" ht="25.5" x14ac:dyDescent="0.2">
      <c r="A565" s="24" t="s">
        <v>656</v>
      </c>
      <c r="B565" s="75" t="s">
        <v>655</v>
      </c>
      <c r="C565" s="75"/>
      <c r="D565" s="119">
        <f>D566</f>
        <v>19.899999999999999</v>
      </c>
      <c r="E565" s="119">
        <f t="shared" ref="E565:F565" si="193">E566</f>
        <v>19.899999999999999</v>
      </c>
      <c r="F565" s="119">
        <f t="shared" si="193"/>
        <v>19.899999999999999</v>
      </c>
      <c r="L565" s="210"/>
      <c r="M565" s="210"/>
      <c r="N565" s="210"/>
    </row>
    <row r="566" spans="1:14" s="96" customFormat="1" ht="25.5" x14ac:dyDescent="0.2">
      <c r="A566" s="24" t="s">
        <v>226</v>
      </c>
      <c r="B566" s="75" t="s">
        <v>655</v>
      </c>
      <c r="C566" s="75" t="s">
        <v>59</v>
      </c>
      <c r="D566" s="119">
        <f>'ведомств. стр. 2025-2027'!G493</f>
        <v>19.899999999999999</v>
      </c>
      <c r="E566" s="119">
        <f>'ведомств. стр. 2025-2027'!H493</f>
        <v>19.899999999999999</v>
      </c>
      <c r="F566" s="119">
        <f>'ведомств. стр. 2025-2027'!I493</f>
        <v>19.899999999999999</v>
      </c>
      <c r="L566" s="210"/>
      <c r="M566" s="210"/>
      <c r="N566" s="210"/>
    </row>
    <row r="567" spans="1:14" s="96" customFormat="1" ht="25.5" x14ac:dyDescent="0.2">
      <c r="A567" s="72" t="s">
        <v>801</v>
      </c>
      <c r="B567" s="73" t="s">
        <v>439</v>
      </c>
      <c r="C567" s="73"/>
      <c r="D567" s="116">
        <f>D568+D570</f>
        <v>457.2</v>
      </c>
      <c r="E567" s="116">
        <f>E568+E570</f>
        <v>457.2</v>
      </c>
      <c r="F567" s="116">
        <f>F568+F570</f>
        <v>457.2</v>
      </c>
      <c r="L567" s="210"/>
      <c r="M567" s="210"/>
      <c r="N567" s="210"/>
    </row>
    <row r="568" spans="1:14" s="96" customFormat="1" ht="25.5" x14ac:dyDescent="0.2">
      <c r="A568" s="24" t="s">
        <v>441</v>
      </c>
      <c r="B568" s="75" t="s">
        <v>440</v>
      </c>
      <c r="C568" s="75"/>
      <c r="D568" s="119">
        <f>D569</f>
        <v>371.7</v>
      </c>
      <c r="E568" s="119">
        <f>E569</f>
        <v>371.7</v>
      </c>
      <c r="F568" s="119">
        <f>F569</f>
        <v>371.7</v>
      </c>
      <c r="L568" s="210"/>
      <c r="M568" s="210"/>
      <c r="N568" s="210"/>
    </row>
    <row r="569" spans="1:14" s="96" customFormat="1" ht="25.5" x14ac:dyDescent="0.2">
      <c r="A569" s="24" t="s">
        <v>226</v>
      </c>
      <c r="B569" s="75" t="s">
        <v>440</v>
      </c>
      <c r="C569" s="75" t="s">
        <v>59</v>
      </c>
      <c r="D569" s="119">
        <f>'ведомств. стр. 2025-2027'!G496</f>
        <v>371.7</v>
      </c>
      <c r="E569" s="119">
        <f>'ведомств. стр. 2025-2027'!H496</f>
        <v>371.7</v>
      </c>
      <c r="F569" s="119">
        <f>'ведомств. стр. 2025-2027'!I496</f>
        <v>371.7</v>
      </c>
      <c r="L569" s="210"/>
      <c r="M569" s="210"/>
      <c r="N569" s="210"/>
    </row>
    <row r="570" spans="1:14" s="96" customFormat="1" ht="12.75" x14ac:dyDescent="0.2">
      <c r="A570" s="24" t="s">
        <v>443</v>
      </c>
      <c r="B570" s="75" t="s">
        <v>442</v>
      </c>
      <c r="C570" s="75"/>
      <c r="D570" s="119">
        <f>D571</f>
        <v>85.5</v>
      </c>
      <c r="E570" s="119">
        <f>E571</f>
        <v>85.5</v>
      </c>
      <c r="F570" s="119">
        <f>F571</f>
        <v>85.5</v>
      </c>
      <c r="L570" s="210"/>
      <c r="M570" s="210"/>
      <c r="N570" s="210"/>
    </row>
    <row r="571" spans="1:14" s="96" customFormat="1" ht="25.5" x14ac:dyDescent="0.2">
      <c r="A571" s="24" t="s">
        <v>226</v>
      </c>
      <c r="B571" s="75" t="s">
        <v>442</v>
      </c>
      <c r="C571" s="75" t="s">
        <v>59</v>
      </c>
      <c r="D571" s="119">
        <f>'ведомств. стр. 2025-2027'!G498</f>
        <v>85.5</v>
      </c>
      <c r="E571" s="119">
        <f>'ведомств. стр. 2025-2027'!H498</f>
        <v>85.5</v>
      </c>
      <c r="F571" s="119">
        <f>'ведомств. стр. 2025-2027'!I498</f>
        <v>85.5</v>
      </c>
      <c r="L571" s="210"/>
      <c r="M571" s="210"/>
      <c r="N571" s="210"/>
    </row>
    <row r="572" spans="1:14" s="96" customFormat="1" ht="25.5" x14ac:dyDescent="0.2">
      <c r="A572" s="72" t="s">
        <v>802</v>
      </c>
      <c r="B572" s="73" t="s">
        <v>657</v>
      </c>
      <c r="C572" s="73"/>
      <c r="D572" s="116">
        <f>D573+D575</f>
        <v>4033.2999999999997</v>
      </c>
      <c r="E572" s="116">
        <f t="shared" ref="E572:F572" si="194">E573+E575</f>
        <v>39</v>
      </c>
      <c r="F572" s="116">
        <f t="shared" si="194"/>
        <v>39</v>
      </c>
      <c r="L572" s="210"/>
      <c r="M572" s="210"/>
      <c r="N572" s="210"/>
    </row>
    <row r="573" spans="1:14" s="96" customFormat="1" ht="25.5" x14ac:dyDescent="0.2">
      <c r="A573" s="24" t="s">
        <v>658</v>
      </c>
      <c r="B573" s="75" t="s">
        <v>659</v>
      </c>
      <c r="C573" s="75"/>
      <c r="D573" s="119">
        <f>D574</f>
        <v>39</v>
      </c>
      <c r="E573" s="119">
        <f t="shared" ref="E573:F573" si="195">E574</f>
        <v>39</v>
      </c>
      <c r="F573" s="119">
        <f t="shared" si="195"/>
        <v>39</v>
      </c>
      <c r="L573" s="210"/>
      <c r="M573" s="210"/>
      <c r="N573" s="210"/>
    </row>
    <row r="574" spans="1:14" s="96" customFormat="1" ht="25.5" x14ac:dyDescent="0.2">
      <c r="A574" s="24" t="s">
        <v>226</v>
      </c>
      <c r="B574" s="75" t="s">
        <v>659</v>
      </c>
      <c r="C574" s="75" t="s">
        <v>59</v>
      </c>
      <c r="D574" s="119">
        <f>'ведомств. стр. 2025-2027'!G501</f>
        <v>39</v>
      </c>
      <c r="E574" s="119">
        <f>'ведомств. стр. 2025-2027'!H501</f>
        <v>39</v>
      </c>
      <c r="F574" s="119">
        <f>'ведомств. стр. 2025-2027'!I501</f>
        <v>39</v>
      </c>
      <c r="L574" s="210"/>
      <c r="M574" s="210"/>
      <c r="N574" s="210"/>
    </row>
    <row r="575" spans="1:14" s="96" customFormat="1" ht="25.5" x14ac:dyDescent="0.2">
      <c r="A575" s="24" t="s">
        <v>1007</v>
      </c>
      <c r="B575" s="75" t="s">
        <v>1006</v>
      </c>
      <c r="C575" s="75"/>
      <c r="D575" s="119">
        <f>D576</f>
        <v>3994.2999999999997</v>
      </c>
      <c r="E575" s="119">
        <f t="shared" ref="E575:F575" si="196">E576</f>
        <v>0</v>
      </c>
      <c r="F575" s="119">
        <f t="shared" si="196"/>
        <v>0</v>
      </c>
      <c r="L575" s="210"/>
      <c r="M575" s="210"/>
      <c r="N575" s="210"/>
    </row>
    <row r="576" spans="1:14" s="96" customFormat="1" ht="25.5" x14ac:dyDescent="0.2">
      <c r="A576" s="24" t="s">
        <v>226</v>
      </c>
      <c r="B576" s="75" t="s">
        <v>1006</v>
      </c>
      <c r="C576" s="75" t="s">
        <v>59</v>
      </c>
      <c r="D576" s="119">
        <f>'ведомств. стр. 2025-2027'!G503</f>
        <v>3994.2999999999997</v>
      </c>
      <c r="E576" s="119">
        <f>'ведомств. стр. 2025-2027'!H503</f>
        <v>0</v>
      </c>
      <c r="F576" s="119">
        <f>'ведомств. стр. 2025-2027'!I503</f>
        <v>0</v>
      </c>
      <c r="L576" s="210"/>
      <c r="M576" s="210"/>
      <c r="N576" s="210"/>
    </row>
    <row r="577" spans="1:14" s="96" customFormat="1" ht="27" x14ac:dyDescent="0.2">
      <c r="A577" s="112" t="s">
        <v>763</v>
      </c>
      <c r="B577" s="111" t="s">
        <v>444</v>
      </c>
      <c r="C577" s="111"/>
      <c r="D577" s="118">
        <f>D581+D578</f>
        <v>24010.1</v>
      </c>
      <c r="E577" s="118">
        <f t="shared" ref="E577:F577" si="197">E581+E578</f>
        <v>7864.8</v>
      </c>
      <c r="F577" s="118">
        <f t="shared" si="197"/>
        <v>7875.7</v>
      </c>
      <c r="L577" s="210"/>
      <c r="M577" s="210"/>
      <c r="N577" s="210"/>
    </row>
    <row r="578" spans="1:14" s="231" customFormat="1" ht="12.75" x14ac:dyDescent="0.2">
      <c r="A578" s="72" t="s">
        <v>1009</v>
      </c>
      <c r="B578" s="73" t="s">
        <v>1008</v>
      </c>
      <c r="C578" s="73"/>
      <c r="D578" s="116">
        <f>D579</f>
        <v>10934.199999999999</v>
      </c>
      <c r="E578" s="116">
        <f t="shared" ref="E578:F579" si="198">E579</f>
        <v>0</v>
      </c>
      <c r="F578" s="116">
        <f t="shared" si="198"/>
        <v>0</v>
      </c>
      <c r="L578" s="232"/>
      <c r="M578" s="232"/>
      <c r="N578" s="232"/>
    </row>
    <row r="579" spans="1:14" s="96" customFormat="1" ht="12.75" x14ac:dyDescent="0.2">
      <c r="A579" s="24" t="s">
        <v>1011</v>
      </c>
      <c r="B579" s="75" t="s">
        <v>1010</v>
      </c>
      <c r="C579" s="75"/>
      <c r="D579" s="119">
        <f>D580</f>
        <v>10934.199999999999</v>
      </c>
      <c r="E579" s="119">
        <f t="shared" si="198"/>
        <v>0</v>
      </c>
      <c r="F579" s="119">
        <f t="shared" si="198"/>
        <v>0</v>
      </c>
      <c r="L579" s="210"/>
      <c r="M579" s="210"/>
      <c r="N579" s="210"/>
    </row>
    <row r="580" spans="1:14" s="96" customFormat="1" ht="25.5" x14ac:dyDescent="0.2">
      <c r="A580" s="24" t="s">
        <v>226</v>
      </c>
      <c r="B580" s="75" t="s">
        <v>1010</v>
      </c>
      <c r="C580" s="75" t="s">
        <v>59</v>
      </c>
      <c r="D580" s="119">
        <f>'ведомств. стр. 2025-2027'!G507</f>
        <v>10934.199999999999</v>
      </c>
      <c r="E580" s="119">
        <f>'ведомств. стр. 2025-2027'!H507</f>
        <v>0</v>
      </c>
      <c r="F580" s="119">
        <f>'ведомств. стр. 2025-2027'!I507</f>
        <v>0</v>
      </c>
      <c r="L580" s="210"/>
      <c r="M580" s="210"/>
      <c r="N580" s="210"/>
    </row>
    <row r="581" spans="1:14" s="96" customFormat="1" ht="12.75" x14ac:dyDescent="0.2">
      <c r="A581" s="72" t="s">
        <v>803</v>
      </c>
      <c r="B581" s="73" t="s">
        <v>445</v>
      </c>
      <c r="C581" s="73"/>
      <c r="D581" s="116">
        <f t="shared" ref="D581:F582" si="199">D582</f>
        <v>13075.900000000001</v>
      </c>
      <c r="E581" s="116">
        <f t="shared" si="199"/>
        <v>7864.8</v>
      </c>
      <c r="F581" s="116">
        <f t="shared" si="199"/>
        <v>7875.7</v>
      </c>
      <c r="L581" s="210"/>
      <c r="M581" s="210"/>
      <c r="N581" s="210"/>
    </row>
    <row r="582" spans="1:14" s="96" customFormat="1" ht="25.5" x14ac:dyDescent="0.2">
      <c r="A582" s="24" t="s">
        <v>241</v>
      </c>
      <c r="B582" s="75" t="s">
        <v>446</v>
      </c>
      <c r="C582" s="75"/>
      <c r="D582" s="119">
        <f t="shared" si="199"/>
        <v>13075.900000000001</v>
      </c>
      <c r="E582" s="119">
        <f t="shared" si="199"/>
        <v>7864.8</v>
      </c>
      <c r="F582" s="119">
        <f t="shared" si="199"/>
        <v>7875.7</v>
      </c>
      <c r="L582" s="210"/>
      <c r="M582" s="210"/>
      <c r="N582" s="210"/>
    </row>
    <row r="583" spans="1:14" s="82" customFormat="1" ht="25.5" x14ac:dyDescent="0.25">
      <c r="A583" s="24" t="s">
        <v>226</v>
      </c>
      <c r="B583" s="75" t="s">
        <v>446</v>
      </c>
      <c r="C583" s="75" t="s">
        <v>59</v>
      </c>
      <c r="D583" s="119">
        <f>'ведомств. стр. 2025-2027'!G510</f>
        <v>13075.900000000001</v>
      </c>
      <c r="E583" s="119">
        <f>'ведомств. стр. 2025-2027'!H510</f>
        <v>7864.8</v>
      </c>
      <c r="F583" s="119">
        <f>'ведомств. стр. 2025-2027'!I510</f>
        <v>7875.7</v>
      </c>
      <c r="L583" s="212"/>
      <c r="M583" s="212"/>
      <c r="N583" s="212"/>
    </row>
    <row r="584" spans="1:14" s="82" customFormat="1" ht="27" x14ac:dyDescent="0.25">
      <c r="A584" s="112" t="s">
        <v>764</v>
      </c>
      <c r="B584" s="111" t="s">
        <v>447</v>
      </c>
      <c r="C584" s="111"/>
      <c r="D584" s="118">
        <f>D585+D588</f>
        <v>2293.8000000000002</v>
      </c>
      <c r="E584" s="118">
        <f>E585+E588</f>
        <v>859.3</v>
      </c>
      <c r="F584" s="118">
        <f>F585+F588</f>
        <v>859.7</v>
      </c>
      <c r="L584" s="212"/>
      <c r="M584" s="212"/>
      <c r="N584" s="212"/>
    </row>
    <row r="585" spans="1:14" s="82" customFormat="1" ht="25.5" x14ac:dyDescent="0.25">
      <c r="A585" s="72" t="s">
        <v>804</v>
      </c>
      <c r="B585" s="73" t="s">
        <v>449</v>
      </c>
      <c r="C585" s="73"/>
      <c r="D585" s="116">
        <f t="shared" ref="D585:F586" si="200">D586</f>
        <v>27.9</v>
      </c>
      <c r="E585" s="116">
        <f t="shared" si="200"/>
        <v>0</v>
      </c>
      <c r="F585" s="116">
        <f t="shared" si="200"/>
        <v>0</v>
      </c>
      <c r="L585" s="212"/>
      <c r="M585" s="212"/>
      <c r="N585" s="212"/>
    </row>
    <row r="586" spans="1:14" s="82" customFormat="1" x14ac:dyDescent="0.25">
      <c r="A586" s="24" t="s">
        <v>451</v>
      </c>
      <c r="B586" s="75" t="s">
        <v>450</v>
      </c>
      <c r="C586" s="75"/>
      <c r="D586" s="119">
        <f t="shared" si="200"/>
        <v>27.9</v>
      </c>
      <c r="E586" s="119">
        <f t="shared" si="200"/>
        <v>0</v>
      </c>
      <c r="F586" s="119">
        <f t="shared" si="200"/>
        <v>0</v>
      </c>
      <c r="L586" s="212"/>
      <c r="M586" s="212"/>
      <c r="N586" s="212"/>
    </row>
    <row r="587" spans="1:14" s="82" customFormat="1" ht="25.5" x14ac:dyDescent="0.25">
      <c r="A587" s="24" t="s">
        <v>226</v>
      </c>
      <c r="B587" s="75" t="s">
        <v>450</v>
      </c>
      <c r="C587" s="75" t="s">
        <v>59</v>
      </c>
      <c r="D587" s="119">
        <f>'ведомств. стр. 2025-2027'!G514</f>
        <v>27.9</v>
      </c>
      <c r="E587" s="119">
        <f>'ведомств. стр. 2025-2027'!H514</f>
        <v>0</v>
      </c>
      <c r="F587" s="119">
        <f>'ведомств. стр. 2025-2027'!I514</f>
        <v>0</v>
      </c>
      <c r="L587" s="212"/>
      <c r="M587" s="212"/>
      <c r="N587" s="212"/>
    </row>
    <row r="588" spans="1:14" s="82" customFormat="1" x14ac:dyDescent="0.25">
      <c r="A588" s="72" t="s">
        <v>805</v>
      </c>
      <c r="B588" s="73" t="s">
        <v>448</v>
      </c>
      <c r="C588" s="73"/>
      <c r="D588" s="116">
        <f t="shared" ref="D588:F589" si="201">D589</f>
        <v>2265.9</v>
      </c>
      <c r="E588" s="116">
        <f t="shared" si="201"/>
        <v>859.3</v>
      </c>
      <c r="F588" s="116">
        <f t="shared" si="201"/>
        <v>859.7</v>
      </c>
      <c r="L588" s="212"/>
      <c r="M588" s="212"/>
      <c r="N588" s="212"/>
    </row>
    <row r="589" spans="1:14" s="82" customFormat="1" x14ac:dyDescent="0.25">
      <c r="A589" s="24" t="s">
        <v>453</v>
      </c>
      <c r="B589" s="75" t="s">
        <v>452</v>
      </c>
      <c r="C589" s="75"/>
      <c r="D589" s="119">
        <f t="shared" si="201"/>
        <v>2265.9</v>
      </c>
      <c r="E589" s="119">
        <f t="shared" si="201"/>
        <v>859.3</v>
      </c>
      <c r="F589" s="119">
        <f t="shared" si="201"/>
        <v>859.7</v>
      </c>
      <c r="L589" s="212"/>
      <c r="M589" s="212"/>
      <c r="N589" s="212"/>
    </row>
    <row r="590" spans="1:14" s="82" customFormat="1" ht="36.75" customHeight="1" x14ac:dyDescent="0.25">
      <c r="A590" s="24" t="s">
        <v>226</v>
      </c>
      <c r="B590" s="75" t="s">
        <v>452</v>
      </c>
      <c r="C590" s="75" t="s">
        <v>59</v>
      </c>
      <c r="D590" s="119">
        <f>'ведомств. стр. 2025-2027'!G517</f>
        <v>2265.9</v>
      </c>
      <c r="E590" s="119">
        <f>'ведомств. стр. 2025-2027'!H517</f>
        <v>859.3</v>
      </c>
      <c r="F590" s="119">
        <f>'ведомств. стр. 2025-2027'!I517</f>
        <v>859.7</v>
      </c>
      <c r="L590" s="212"/>
      <c r="M590" s="212"/>
      <c r="N590" s="212"/>
    </row>
    <row r="591" spans="1:14" s="82" customFormat="1" ht="25.5" x14ac:dyDescent="0.25">
      <c r="A591" s="81" t="s">
        <v>498</v>
      </c>
      <c r="B591" s="80" t="s">
        <v>499</v>
      </c>
      <c r="C591" s="80"/>
      <c r="D591" s="117">
        <f>D592+D613</f>
        <v>107685</v>
      </c>
      <c r="E591" s="117">
        <f>E592+E613</f>
        <v>153740</v>
      </c>
      <c r="F591" s="117">
        <f>F592+F613</f>
        <v>184850</v>
      </c>
      <c r="I591" s="198"/>
      <c r="J591" s="198"/>
      <c r="K591" s="198"/>
      <c r="L591" s="212"/>
      <c r="M591" s="212"/>
      <c r="N591" s="212"/>
    </row>
    <row r="592" spans="1:14" s="82" customFormat="1" x14ac:dyDescent="0.25">
      <c r="A592" s="112" t="s">
        <v>774</v>
      </c>
      <c r="B592" s="111" t="s">
        <v>500</v>
      </c>
      <c r="C592" s="111"/>
      <c r="D592" s="118">
        <f>D593+D608</f>
        <v>107485</v>
      </c>
      <c r="E592" s="118">
        <f>E593+E608</f>
        <v>153640</v>
      </c>
      <c r="F592" s="118">
        <f>F593+F608</f>
        <v>184750</v>
      </c>
      <c r="L592" s="212"/>
      <c r="M592" s="212"/>
      <c r="N592" s="212"/>
    </row>
    <row r="593" spans="1:14" s="82" customFormat="1" x14ac:dyDescent="0.25">
      <c r="A593" s="72" t="s">
        <v>826</v>
      </c>
      <c r="B593" s="73" t="s">
        <v>501</v>
      </c>
      <c r="C593" s="73"/>
      <c r="D593" s="116">
        <f>D594+D596+D598+D600+D602+D604+D606</f>
        <v>107085</v>
      </c>
      <c r="E593" s="116">
        <f t="shared" ref="E593:F593" si="202">E594+E596+E598+E600+E602+E604+E606</f>
        <v>153140</v>
      </c>
      <c r="F593" s="116">
        <f t="shared" si="202"/>
        <v>184250</v>
      </c>
      <c r="L593" s="212"/>
      <c r="M593" s="212"/>
      <c r="N593" s="212"/>
    </row>
    <row r="594" spans="1:14" s="82" customFormat="1" ht="25.5" x14ac:dyDescent="0.25">
      <c r="A594" s="24" t="s">
        <v>170</v>
      </c>
      <c r="B594" s="75" t="s">
        <v>502</v>
      </c>
      <c r="C594" s="75"/>
      <c r="D594" s="119">
        <f>D595</f>
        <v>380</v>
      </c>
      <c r="E594" s="119">
        <f>E595</f>
        <v>380</v>
      </c>
      <c r="F594" s="119">
        <f>F595</f>
        <v>380</v>
      </c>
      <c r="L594" s="212"/>
      <c r="M594" s="212"/>
      <c r="N594" s="212"/>
    </row>
    <row r="595" spans="1:14" s="82" customFormat="1" x14ac:dyDescent="0.25">
      <c r="A595" s="28" t="s">
        <v>85</v>
      </c>
      <c r="B595" s="75" t="s">
        <v>502</v>
      </c>
      <c r="C595" s="75" t="s">
        <v>86</v>
      </c>
      <c r="D595" s="119">
        <f>'ведомств. стр. 2025-2027'!G792</f>
        <v>380</v>
      </c>
      <c r="E595" s="119">
        <f>'ведомств. стр. 2025-2027'!H792</f>
        <v>380</v>
      </c>
      <c r="F595" s="119">
        <f>'ведомств. стр. 2025-2027'!I792</f>
        <v>380</v>
      </c>
      <c r="L595" s="212"/>
      <c r="M595" s="212"/>
      <c r="N595" s="212"/>
    </row>
    <row r="596" spans="1:14" s="82" customFormat="1" ht="25.5" x14ac:dyDescent="0.25">
      <c r="A596" s="24" t="s">
        <v>171</v>
      </c>
      <c r="B596" s="75" t="s">
        <v>503</v>
      </c>
      <c r="C596" s="75"/>
      <c r="D596" s="119">
        <f>D597</f>
        <v>30</v>
      </c>
      <c r="E596" s="119">
        <f>E597</f>
        <v>30</v>
      </c>
      <c r="F596" s="119">
        <f>F597</f>
        <v>30</v>
      </c>
      <c r="L596" s="212"/>
      <c r="M596" s="212"/>
      <c r="N596" s="212"/>
    </row>
    <row r="597" spans="1:14" s="82" customFormat="1" x14ac:dyDescent="0.25">
      <c r="A597" s="28" t="s">
        <v>85</v>
      </c>
      <c r="B597" s="75" t="s">
        <v>503</v>
      </c>
      <c r="C597" s="75" t="s">
        <v>86</v>
      </c>
      <c r="D597" s="119">
        <f>'ведомств. стр. 2025-2027'!G794</f>
        <v>30</v>
      </c>
      <c r="E597" s="119">
        <f>'ведомств. стр. 2025-2027'!H794</f>
        <v>30</v>
      </c>
      <c r="F597" s="119">
        <f>'ведомств. стр. 2025-2027'!I794</f>
        <v>30</v>
      </c>
      <c r="L597" s="212"/>
      <c r="M597" s="212"/>
      <c r="N597" s="212"/>
    </row>
    <row r="598" spans="1:14" s="82" customFormat="1" ht="38.25" x14ac:dyDescent="0.25">
      <c r="A598" s="24" t="s">
        <v>172</v>
      </c>
      <c r="B598" s="75" t="s">
        <v>504</v>
      </c>
      <c r="C598" s="75"/>
      <c r="D598" s="119">
        <f>D599</f>
        <v>40</v>
      </c>
      <c r="E598" s="119">
        <f>E599</f>
        <v>40</v>
      </c>
      <c r="F598" s="119">
        <f>F599</f>
        <v>40</v>
      </c>
      <c r="L598" s="212"/>
      <c r="M598" s="212"/>
      <c r="N598" s="212"/>
    </row>
    <row r="599" spans="1:14" s="82" customFormat="1" x14ac:dyDescent="0.25">
      <c r="A599" s="28" t="s">
        <v>85</v>
      </c>
      <c r="B599" s="75" t="s">
        <v>504</v>
      </c>
      <c r="C599" s="75" t="s">
        <v>86</v>
      </c>
      <c r="D599" s="119">
        <f>'ведомств. стр. 2025-2027'!G796</f>
        <v>40</v>
      </c>
      <c r="E599" s="119">
        <f>'ведомств. стр. 2025-2027'!H796</f>
        <v>40</v>
      </c>
      <c r="F599" s="119">
        <f>'ведомств. стр. 2025-2027'!I796</f>
        <v>40</v>
      </c>
      <c r="L599" s="212"/>
      <c r="M599" s="212"/>
      <c r="N599" s="212"/>
    </row>
    <row r="600" spans="1:14" s="82" customFormat="1" x14ac:dyDescent="0.25">
      <c r="A600" s="24" t="s">
        <v>228</v>
      </c>
      <c r="B600" s="75" t="s">
        <v>505</v>
      </c>
      <c r="C600" s="75"/>
      <c r="D600" s="119">
        <f>D601</f>
        <v>600</v>
      </c>
      <c r="E600" s="119">
        <f>E601</f>
        <v>600</v>
      </c>
      <c r="F600" s="119">
        <f>F601</f>
        <v>600</v>
      </c>
      <c r="L600" s="212"/>
      <c r="M600" s="212"/>
      <c r="N600" s="212"/>
    </row>
    <row r="601" spans="1:14" s="82" customFormat="1" x14ac:dyDescent="0.25">
      <c r="A601" s="28" t="s">
        <v>85</v>
      </c>
      <c r="B601" s="75" t="s">
        <v>505</v>
      </c>
      <c r="C601" s="75" t="s">
        <v>86</v>
      </c>
      <c r="D601" s="119">
        <f>'ведомств. стр. 2025-2027'!G798</f>
        <v>600</v>
      </c>
      <c r="E601" s="119">
        <f>'ведомств. стр. 2025-2027'!H798</f>
        <v>600</v>
      </c>
      <c r="F601" s="119">
        <f>'ведомств. стр. 2025-2027'!I798</f>
        <v>600</v>
      </c>
      <c r="L601" s="212"/>
      <c r="M601" s="212"/>
      <c r="N601" s="212"/>
    </row>
    <row r="602" spans="1:14" s="82" customFormat="1" ht="165.75" x14ac:dyDescent="0.25">
      <c r="A602" s="28" t="s">
        <v>864</v>
      </c>
      <c r="B602" s="75" t="s">
        <v>849</v>
      </c>
      <c r="C602" s="75"/>
      <c r="D602" s="119">
        <f>D603</f>
        <v>102785</v>
      </c>
      <c r="E602" s="119">
        <f t="shared" ref="E602:F602" si="203">E603</f>
        <v>148840</v>
      </c>
      <c r="F602" s="119">
        <f t="shared" si="203"/>
        <v>179950</v>
      </c>
      <c r="L602" s="212"/>
      <c r="M602" s="212"/>
      <c r="N602" s="212"/>
    </row>
    <row r="603" spans="1:14" s="82" customFormat="1" x14ac:dyDescent="0.25">
      <c r="A603" s="28" t="s">
        <v>85</v>
      </c>
      <c r="B603" s="75" t="s">
        <v>849</v>
      </c>
      <c r="C603" s="75" t="s">
        <v>86</v>
      </c>
      <c r="D603" s="119">
        <f>'ведомств. стр. 2025-2027'!G800</f>
        <v>102785</v>
      </c>
      <c r="E603" s="119">
        <f>'ведомств. стр. 2025-2027'!H800</f>
        <v>148840</v>
      </c>
      <c r="F603" s="119">
        <f>'ведомств. стр. 2025-2027'!I800</f>
        <v>179950</v>
      </c>
      <c r="L603" s="212"/>
      <c r="M603" s="212"/>
      <c r="N603" s="212"/>
    </row>
    <row r="604" spans="1:14" s="82" customFormat="1" ht="76.5" x14ac:dyDescent="0.25">
      <c r="A604" s="28" t="s">
        <v>851</v>
      </c>
      <c r="B604" s="75" t="s">
        <v>850</v>
      </c>
      <c r="C604" s="75"/>
      <c r="D604" s="119">
        <f>D605</f>
        <v>250</v>
      </c>
      <c r="E604" s="119">
        <f t="shared" ref="E604:F604" si="204">E605</f>
        <v>250</v>
      </c>
      <c r="F604" s="119">
        <f t="shared" si="204"/>
        <v>250</v>
      </c>
      <c r="L604" s="212"/>
      <c r="M604" s="212"/>
      <c r="N604" s="212"/>
    </row>
    <row r="605" spans="1:14" s="82" customFormat="1" x14ac:dyDescent="0.25">
      <c r="A605" s="28" t="s">
        <v>85</v>
      </c>
      <c r="B605" s="75" t="s">
        <v>850</v>
      </c>
      <c r="C605" s="75" t="s">
        <v>86</v>
      </c>
      <c r="D605" s="119">
        <f>'ведомств. стр. 2025-2027'!G802</f>
        <v>250</v>
      </c>
      <c r="E605" s="119">
        <f>'ведомств. стр. 2025-2027'!H802</f>
        <v>250</v>
      </c>
      <c r="F605" s="119">
        <f>'ведомств. стр. 2025-2027'!I802</f>
        <v>250</v>
      </c>
      <c r="L605" s="212"/>
      <c r="M605" s="212"/>
      <c r="N605" s="212"/>
    </row>
    <row r="606" spans="1:14" s="82" customFormat="1" ht="114.75" x14ac:dyDescent="0.25">
      <c r="A606" s="28" t="s">
        <v>853</v>
      </c>
      <c r="B606" s="75" t="s">
        <v>852</v>
      </c>
      <c r="C606" s="75"/>
      <c r="D606" s="119">
        <f>D607</f>
        <v>3000</v>
      </c>
      <c r="E606" s="119">
        <f>E607</f>
        <v>3000</v>
      </c>
      <c r="F606" s="119">
        <f t="shared" ref="F606" si="205">F607</f>
        <v>3000</v>
      </c>
      <c r="L606" s="212"/>
      <c r="M606" s="212"/>
      <c r="N606" s="212"/>
    </row>
    <row r="607" spans="1:14" s="82" customFormat="1" x14ac:dyDescent="0.25">
      <c r="A607" s="28" t="s">
        <v>85</v>
      </c>
      <c r="B607" s="75" t="s">
        <v>852</v>
      </c>
      <c r="C607" s="75" t="s">
        <v>86</v>
      </c>
      <c r="D607" s="119">
        <f>'ведомств. стр. 2025-2027'!G804</f>
        <v>3000</v>
      </c>
      <c r="E607" s="119">
        <f>'ведомств. стр. 2025-2027'!H804</f>
        <v>3000</v>
      </c>
      <c r="F607" s="119">
        <f>'ведомств. стр. 2025-2027'!I804</f>
        <v>3000</v>
      </c>
      <c r="L607" s="212"/>
      <c r="M607" s="212"/>
      <c r="N607" s="212"/>
    </row>
    <row r="608" spans="1:14" s="82" customFormat="1" ht="24.75" customHeight="1" x14ac:dyDescent="0.25">
      <c r="A608" s="165" t="s">
        <v>827</v>
      </c>
      <c r="B608" s="73" t="s">
        <v>507</v>
      </c>
      <c r="C608" s="73"/>
      <c r="D608" s="116">
        <f>D609+D611</f>
        <v>400</v>
      </c>
      <c r="E608" s="116">
        <f>E609+E611</f>
        <v>500</v>
      </c>
      <c r="F608" s="116">
        <f>F609+F611</f>
        <v>500</v>
      </c>
      <c r="L608" s="212"/>
      <c r="M608" s="212"/>
      <c r="N608" s="212"/>
    </row>
    <row r="609" spans="1:14" s="82" customFormat="1" ht="51" x14ac:dyDescent="0.25">
      <c r="A609" s="28" t="s">
        <v>342</v>
      </c>
      <c r="B609" s="75" t="s">
        <v>508</v>
      </c>
      <c r="C609" s="75"/>
      <c r="D609" s="119">
        <f>D610</f>
        <v>250</v>
      </c>
      <c r="E609" s="119">
        <f>E610</f>
        <v>250</v>
      </c>
      <c r="F609" s="119">
        <f>F610</f>
        <v>250</v>
      </c>
      <c r="L609" s="212"/>
      <c r="M609" s="212"/>
      <c r="N609" s="212"/>
    </row>
    <row r="610" spans="1:14" s="82" customFormat="1" ht="25.5" x14ac:dyDescent="0.25">
      <c r="A610" s="24" t="s">
        <v>226</v>
      </c>
      <c r="B610" s="75" t="s">
        <v>508</v>
      </c>
      <c r="C610" s="75" t="s">
        <v>59</v>
      </c>
      <c r="D610" s="119">
        <f>'ведомств. стр. 2025-2027'!G807</f>
        <v>250</v>
      </c>
      <c r="E610" s="119">
        <f>'ведомств. стр. 2025-2027'!H807</f>
        <v>250</v>
      </c>
      <c r="F610" s="119">
        <f>'ведомств. стр. 2025-2027'!I807</f>
        <v>250</v>
      </c>
      <c r="L610" s="212"/>
      <c r="M610" s="212"/>
      <c r="N610" s="212"/>
    </row>
    <row r="611" spans="1:14" s="82" customFormat="1" ht="51" x14ac:dyDescent="0.25">
      <c r="A611" s="28" t="s">
        <v>235</v>
      </c>
      <c r="B611" s="75" t="s">
        <v>509</v>
      </c>
      <c r="C611" s="75"/>
      <c r="D611" s="119">
        <f>D612</f>
        <v>150</v>
      </c>
      <c r="E611" s="119">
        <f>E612</f>
        <v>250</v>
      </c>
      <c r="F611" s="119">
        <f>F612</f>
        <v>250</v>
      </c>
      <c r="L611" s="212"/>
      <c r="M611" s="212"/>
      <c r="N611" s="212"/>
    </row>
    <row r="612" spans="1:14" s="82" customFormat="1" ht="25.5" x14ac:dyDescent="0.25">
      <c r="A612" s="24" t="s">
        <v>226</v>
      </c>
      <c r="B612" s="75" t="s">
        <v>509</v>
      </c>
      <c r="C612" s="75" t="s">
        <v>59</v>
      </c>
      <c r="D612" s="119">
        <f>'ведомств. стр. 2025-2027'!G809</f>
        <v>150</v>
      </c>
      <c r="E612" s="119">
        <f>'ведомств. стр. 2025-2027'!H809</f>
        <v>250</v>
      </c>
      <c r="F612" s="119">
        <f>'ведомств. стр. 2025-2027'!I809</f>
        <v>250</v>
      </c>
      <c r="L612" s="212"/>
      <c r="M612" s="212"/>
      <c r="N612" s="212"/>
    </row>
    <row r="613" spans="1:14" s="82" customFormat="1" x14ac:dyDescent="0.25">
      <c r="A613" s="112" t="s">
        <v>757</v>
      </c>
      <c r="B613" s="111" t="s">
        <v>506</v>
      </c>
      <c r="C613" s="111"/>
      <c r="D613" s="118">
        <f t="shared" ref="D613:F615" si="206">D614</f>
        <v>200</v>
      </c>
      <c r="E613" s="118">
        <f t="shared" si="206"/>
        <v>100</v>
      </c>
      <c r="F613" s="118">
        <f t="shared" si="206"/>
        <v>100</v>
      </c>
      <c r="L613" s="212"/>
      <c r="M613" s="212"/>
      <c r="N613" s="212"/>
    </row>
    <row r="614" spans="1:14" s="82" customFormat="1" ht="25.5" x14ac:dyDescent="0.25">
      <c r="A614" s="72" t="s">
        <v>792</v>
      </c>
      <c r="B614" s="73" t="s">
        <v>510</v>
      </c>
      <c r="C614" s="73"/>
      <c r="D614" s="116">
        <f>D615+D617</f>
        <v>200</v>
      </c>
      <c r="E614" s="116">
        <f t="shared" ref="E614:F614" si="207">E615+E617</f>
        <v>100</v>
      </c>
      <c r="F614" s="116">
        <f t="shared" si="207"/>
        <v>100</v>
      </c>
      <c r="L614" s="212"/>
      <c r="M614" s="212"/>
      <c r="N614" s="212"/>
    </row>
    <row r="615" spans="1:14" s="82" customFormat="1" ht="51" x14ac:dyDescent="0.25">
      <c r="A615" s="24" t="s">
        <v>343</v>
      </c>
      <c r="B615" s="75" t="s">
        <v>511</v>
      </c>
      <c r="C615" s="75"/>
      <c r="D615" s="119">
        <f t="shared" si="206"/>
        <v>150</v>
      </c>
      <c r="E615" s="119">
        <f t="shared" si="206"/>
        <v>50</v>
      </c>
      <c r="F615" s="119">
        <f t="shared" si="206"/>
        <v>50</v>
      </c>
      <c r="L615" s="212"/>
      <c r="M615" s="212"/>
      <c r="N615" s="212"/>
    </row>
    <row r="616" spans="1:14" s="82" customFormat="1" ht="25.5" x14ac:dyDescent="0.25">
      <c r="A616" s="24" t="s">
        <v>64</v>
      </c>
      <c r="B616" s="75" t="s">
        <v>511</v>
      </c>
      <c r="C616" s="75" t="s">
        <v>65</v>
      </c>
      <c r="D616" s="119">
        <f>'ведомств. стр. 2025-2027'!G813</f>
        <v>150</v>
      </c>
      <c r="E616" s="119">
        <f>'ведомств. стр. 2025-2027'!H813</f>
        <v>50</v>
      </c>
      <c r="F616" s="119">
        <f>'ведомств. стр. 2025-2027'!I813</f>
        <v>50</v>
      </c>
      <c r="L616" s="212"/>
      <c r="M616" s="212"/>
      <c r="N616" s="212"/>
    </row>
    <row r="617" spans="1:14" s="82" customFormat="1" ht="25.5" x14ac:dyDescent="0.25">
      <c r="A617" s="24" t="s">
        <v>93</v>
      </c>
      <c r="B617" s="75" t="s">
        <v>535</v>
      </c>
      <c r="C617" s="75"/>
      <c r="D617" s="119">
        <f t="shared" ref="D617:F617" si="208">D618</f>
        <v>50</v>
      </c>
      <c r="E617" s="119">
        <f t="shared" si="208"/>
        <v>50</v>
      </c>
      <c r="F617" s="119">
        <f t="shared" si="208"/>
        <v>50</v>
      </c>
      <c r="L617" s="212"/>
      <c r="M617" s="212"/>
      <c r="N617" s="212"/>
    </row>
    <row r="618" spans="1:14" s="82" customFormat="1" ht="25.5" x14ac:dyDescent="0.25">
      <c r="A618" s="24" t="s">
        <v>64</v>
      </c>
      <c r="B618" s="75" t="s">
        <v>535</v>
      </c>
      <c r="C618" s="75" t="s">
        <v>65</v>
      </c>
      <c r="D618" s="119">
        <f>'ведомств. стр. 2025-2027'!G389</f>
        <v>50</v>
      </c>
      <c r="E618" s="119">
        <f>'ведомств. стр. 2025-2027'!H389</f>
        <v>50</v>
      </c>
      <c r="F618" s="119">
        <f>'ведомств. стр. 2025-2027'!I389</f>
        <v>50</v>
      </c>
      <c r="L618" s="212"/>
      <c r="M618" s="212"/>
      <c r="N618" s="212"/>
    </row>
    <row r="619" spans="1:14" s="82" customFormat="1" ht="25.5" x14ac:dyDescent="0.25">
      <c r="A619" s="81" t="s">
        <v>414</v>
      </c>
      <c r="B619" s="80" t="s">
        <v>415</v>
      </c>
      <c r="C619" s="80"/>
      <c r="D619" s="117">
        <f>D620+D632</f>
        <v>221639.2</v>
      </c>
      <c r="E619" s="117">
        <f t="shared" ref="E619:F619" si="209">E620+E632</f>
        <v>186808.7</v>
      </c>
      <c r="F619" s="117">
        <f t="shared" si="209"/>
        <v>150216.4</v>
      </c>
      <c r="I619" s="198"/>
      <c r="J619" s="198"/>
      <c r="K619" s="198"/>
      <c r="L619" s="212"/>
      <c r="M619" s="212"/>
      <c r="N619" s="212"/>
    </row>
    <row r="620" spans="1:14" s="82" customFormat="1" x14ac:dyDescent="0.25">
      <c r="A620" s="112" t="s">
        <v>767</v>
      </c>
      <c r="B620" s="111" t="s">
        <v>416</v>
      </c>
      <c r="C620" s="111"/>
      <c r="D620" s="118">
        <f>D621+D624+D629</f>
        <v>177715.7</v>
      </c>
      <c r="E620" s="118">
        <f t="shared" ref="E620:F620" si="210">E621+E624+E629</f>
        <v>153566.70000000001</v>
      </c>
      <c r="F620" s="118">
        <f t="shared" si="210"/>
        <v>150216.4</v>
      </c>
      <c r="L620" s="212"/>
      <c r="M620" s="212"/>
      <c r="N620" s="212"/>
    </row>
    <row r="621" spans="1:14" s="82" customFormat="1" x14ac:dyDescent="0.25">
      <c r="A621" s="72" t="s">
        <v>811</v>
      </c>
      <c r="B621" s="73" t="s">
        <v>417</v>
      </c>
      <c r="C621" s="73"/>
      <c r="D621" s="116">
        <f t="shared" ref="D621:F622" si="211">D622</f>
        <v>5580</v>
      </c>
      <c r="E621" s="116">
        <f t="shared" si="211"/>
        <v>5580</v>
      </c>
      <c r="F621" s="116">
        <f t="shared" si="211"/>
        <v>5580</v>
      </c>
      <c r="L621" s="212"/>
      <c r="M621" s="212"/>
      <c r="N621" s="212"/>
    </row>
    <row r="622" spans="1:14" s="82" customFormat="1" ht="38.25" x14ac:dyDescent="0.25">
      <c r="A622" s="24" t="s">
        <v>212</v>
      </c>
      <c r="B622" s="75" t="s">
        <v>418</v>
      </c>
      <c r="C622" s="75"/>
      <c r="D622" s="119">
        <f t="shared" si="211"/>
        <v>5580</v>
      </c>
      <c r="E622" s="119">
        <f t="shared" si="211"/>
        <v>5580</v>
      </c>
      <c r="F622" s="119">
        <f t="shared" si="211"/>
        <v>5580</v>
      </c>
      <c r="L622" s="212"/>
      <c r="M622" s="212"/>
      <c r="N622" s="212"/>
    </row>
    <row r="623" spans="1:14" s="82" customFormat="1" x14ac:dyDescent="0.25">
      <c r="A623" s="24" t="s">
        <v>227</v>
      </c>
      <c r="B623" s="75" t="s">
        <v>418</v>
      </c>
      <c r="C623" s="75" t="s">
        <v>193</v>
      </c>
      <c r="D623" s="119">
        <f>'ведомств. стр. 2025-2027'!G565</f>
        <v>5580</v>
      </c>
      <c r="E623" s="119">
        <f>'ведомств. стр. 2025-2027'!H565</f>
        <v>5580</v>
      </c>
      <c r="F623" s="119">
        <f>'ведомств. стр. 2025-2027'!I565</f>
        <v>5580</v>
      </c>
      <c r="L623" s="212"/>
      <c r="M623" s="212"/>
      <c r="N623" s="212"/>
    </row>
    <row r="624" spans="1:14" s="82" customFormat="1" x14ac:dyDescent="0.25">
      <c r="A624" s="146" t="s">
        <v>812</v>
      </c>
      <c r="B624" s="73" t="s">
        <v>419</v>
      </c>
      <c r="C624" s="73"/>
      <c r="D624" s="116">
        <f>D625+D627</f>
        <v>41934.800000000003</v>
      </c>
      <c r="E624" s="116">
        <f t="shared" ref="E624:F624" si="212">E625+E627</f>
        <v>15000</v>
      </c>
      <c r="F624" s="116">
        <f t="shared" si="212"/>
        <v>15000</v>
      </c>
      <c r="L624" s="212"/>
      <c r="M624" s="212"/>
      <c r="N624" s="212"/>
    </row>
    <row r="625" spans="1:14" s="82" customFormat="1" x14ac:dyDescent="0.25">
      <c r="A625" s="23" t="s">
        <v>421</v>
      </c>
      <c r="B625" s="75" t="s">
        <v>420</v>
      </c>
      <c r="C625" s="75"/>
      <c r="D625" s="119">
        <f t="shared" ref="D625:F625" si="213">D626</f>
        <v>40592</v>
      </c>
      <c r="E625" s="119">
        <f t="shared" si="213"/>
        <v>15000</v>
      </c>
      <c r="F625" s="119">
        <f t="shared" si="213"/>
        <v>15000</v>
      </c>
      <c r="L625" s="212"/>
      <c r="M625" s="212"/>
      <c r="N625" s="212"/>
    </row>
    <row r="626" spans="1:14" s="82" customFormat="1" x14ac:dyDescent="0.25">
      <c r="A626" s="28" t="s">
        <v>85</v>
      </c>
      <c r="B626" s="75" t="s">
        <v>420</v>
      </c>
      <c r="C626" s="75" t="s">
        <v>86</v>
      </c>
      <c r="D626" s="119">
        <f>'ведомств. стр. 2025-2027'!G588</f>
        <v>40592</v>
      </c>
      <c r="E626" s="119">
        <f>'ведомств. стр. 2025-2027'!H588</f>
        <v>15000</v>
      </c>
      <c r="F626" s="119">
        <f>'ведомств. стр. 2025-2027'!I588</f>
        <v>15000</v>
      </c>
      <c r="L626" s="212"/>
      <c r="M626" s="212"/>
      <c r="N626" s="212"/>
    </row>
    <row r="627" spans="1:14" s="82" customFormat="1" ht="25.5" x14ac:dyDescent="0.25">
      <c r="A627" s="28" t="s">
        <v>1022</v>
      </c>
      <c r="B627" s="75" t="s">
        <v>1023</v>
      </c>
      <c r="C627" s="75"/>
      <c r="D627" s="119">
        <f>D628</f>
        <v>1342.8</v>
      </c>
      <c r="E627" s="119">
        <f t="shared" ref="E627:F627" si="214">E628</f>
        <v>0</v>
      </c>
      <c r="F627" s="119">
        <f t="shared" si="214"/>
        <v>0</v>
      </c>
      <c r="L627" s="212"/>
      <c r="M627" s="212"/>
      <c r="N627" s="212"/>
    </row>
    <row r="628" spans="1:14" s="82" customFormat="1" x14ac:dyDescent="0.25">
      <c r="A628" s="28" t="s">
        <v>85</v>
      </c>
      <c r="B628" s="75" t="s">
        <v>1023</v>
      </c>
      <c r="C628" s="75" t="s">
        <v>86</v>
      </c>
      <c r="D628" s="119">
        <f>'ведомств. стр. 2025-2027'!G590</f>
        <v>1342.8</v>
      </c>
      <c r="E628" s="119">
        <f>'ведомств. стр. 2025-2027'!H590</f>
        <v>0</v>
      </c>
      <c r="F628" s="119">
        <f>'ведомств. стр. 2025-2027'!I590</f>
        <v>0</v>
      </c>
      <c r="L628" s="212"/>
      <c r="M628" s="212"/>
      <c r="N628" s="212"/>
    </row>
    <row r="629" spans="1:14" s="82" customFormat="1" ht="51" x14ac:dyDescent="0.25">
      <c r="A629" s="72" t="s">
        <v>813</v>
      </c>
      <c r="B629" s="73" t="s">
        <v>592</v>
      </c>
      <c r="C629" s="73"/>
      <c r="D629" s="116">
        <f t="shared" ref="D629:F630" si="215">D630</f>
        <v>130200.9</v>
      </c>
      <c r="E629" s="116">
        <f t="shared" si="215"/>
        <v>132986.70000000001</v>
      </c>
      <c r="F629" s="116">
        <f t="shared" si="215"/>
        <v>129636.4</v>
      </c>
      <c r="L629" s="212"/>
      <c r="M629" s="212"/>
      <c r="N629" s="212"/>
    </row>
    <row r="630" spans="1:14" s="82" customFormat="1" ht="38.25" x14ac:dyDescent="0.25">
      <c r="A630" s="23" t="s">
        <v>630</v>
      </c>
      <c r="B630" s="75" t="s">
        <v>593</v>
      </c>
      <c r="C630" s="75"/>
      <c r="D630" s="119">
        <f t="shared" si="215"/>
        <v>130200.9</v>
      </c>
      <c r="E630" s="119">
        <f t="shared" si="215"/>
        <v>132986.70000000001</v>
      </c>
      <c r="F630" s="119">
        <f t="shared" si="215"/>
        <v>129636.4</v>
      </c>
      <c r="L630" s="212"/>
      <c r="M630" s="212"/>
      <c r="N630" s="212"/>
    </row>
    <row r="631" spans="1:14" s="82" customFormat="1" x14ac:dyDescent="0.25">
      <c r="A631" s="24" t="s">
        <v>227</v>
      </c>
      <c r="B631" s="75" t="s">
        <v>593</v>
      </c>
      <c r="C631" s="75" t="s">
        <v>193</v>
      </c>
      <c r="D631" s="119">
        <f>'ведомств. стр. 2025-2027'!G593</f>
        <v>130200.9</v>
      </c>
      <c r="E631" s="119">
        <f>'ведомств. стр. 2025-2027'!H593</f>
        <v>132986.70000000001</v>
      </c>
      <c r="F631" s="119">
        <f>'ведомств. стр. 2025-2027'!I593</f>
        <v>129636.4</v>
      </c>
      <c r="L631" s="212"/>
      <c r="M631" s="212"/>
      <c r="N631" s="212"/>
    </row>
    <row r="632" spans="1:14" s="82" customFormat="1" ht="40.5" x14ac:dyDescent="0.25">
      <c r="A632" s="112" t="s">
        <v>768</v>
      </c>
      <c r="B632" s="111" t="s">
        <v>616</v>
      </c>
      <c r="C632" s="111"/>
      <c r="D632" s="118">
        <f>D633</f>
        <v>43923.5</v>
      </c>
      <c r="E632" s="118">
        <f t="shared" ref="E632:F632" si="216">E633</f>
        <v>33242</v>
      </c>
      <c r="F632" s="118">
        <f t="shared" si="216"/>
        <v>0</v>
      </c>
      <c r="L632" s="212"/>
      <c r="M632" s="212"/>
      <c r="N632" s="212"/>
    </row>
    <row r="633" spans="1:14" s="82" customFormat="1" x14ac:dyDescent="0.25">
      <c r="A633" s="72" t="s">
        <v>934</v>
      </c>
      <c r="B633" s="73" t="s">
        <v>933</v>
      </c>
      <c r="C633" s="73"/>
      <c r="D633" s="116">
        <f>D634+D636</f>
        <v>43923.5</v>
      </c>
      <c r="E633" s="116">
        <f>E634+E636</f>
        <v>33242</v>
      </c>
      <c r="F633" s="116">
        <f>F634+F636</f>
        <v>0</v>
      </c>
      <c r="L633" s="212"/>
      <c r="M633" s="212"/>
      <c r="N633" s="212"/>
    </row>
    <row r="634" spans="1:14" s="82" customFormat="1" ht="38.25" x14ac:dyDescent="0.25">
      <c r="A634" s="24" t="s">
        <v>854</v>
      </c>
      <c r="B634" s="75" t="s">
        <v>937</v>
      </c>
      <c r="C634" s="75"/>
      <c r="D634" s="119">
        <f>D635</f>
        <v>4391.5</v>
      </c>
      <c r="E634" s="119">
        <f t="shared" ref="E634:F634" si="217">E635</f>
        <v>5000</v>
      </c>
      <c r="F634" s="119">
        <f t="shared" si="217"/>
        <v>0</v>
      </c>
      <c r="L634" s="212"/>
      <c r="M634" s="212"/>
      <c r="N634" s="212"/>
    </row>
    <row r="635" spans="1:14" s="82" customFormat="1" x14ac:dyDescent="0.25">
      <c r="A635" s="28" t="s">
        <v>85</v>
      </c>
      <c r="B635" s="75" t="s">
        <v>937</v>
      </c>
      <c r="C635" s="75" t="s">
        <v>86</v>
      </c>
      <c r="D635" s="119">
        <f>'ведомств. стр. 2025-2027'!G582</f>
        <v>4391.5</v>
      </c>
      <c r="E635" s="119">
        <f>'ведомств. стр. 2025-2027'!H582</f>
        <v>5000</v>
      </c>
      <c r="F635" s="119">
        <f>'ведомств. стр. 2025-2027'!I582</f>
        <v>0</v>
      </c>
      <c r="L635" s="212"/>
      <c r="M635" s="212"/>
      <c r="N635" s="212"/>
    </row>
    <row r="636" spans="1:14" s="82" customFormat="1" ht="25.5" x14ac:dyDescent="0.25">
      <c r="A636" s="24" t="s">
        <v>923</v>
      </c>
      <c r="B636" s="75" t="s">
        <v>936</v>
      </c>
      <c r="C636" s="75"/>
      <c r="D636" s="119">
        <f>D637+D639</f>
        <v>39532</v>
      </c>
      <c r="E636" s="119">
        <f t="shared" ref="E636:F636" si="218">E637+E639</f>
        <v>28242</v>
      </c>
      <c r="F636" s="119">
        <f t="shared" si="218"/>
        <v>0</v>
      </c>
      <c r="L636" s="212"/>
      <c r="M636" s="212"/>
      <c r="N636" s="212"/>
    </row>
    <row r="637" spans="1:14" s="82" customFormat="1" ht="25.5" x14ac:dyDescent="0.25">
      <c r="A637" s="24" t="s">
        <v>679</v>
      </c>
      <c r="B637" s="75" t="s">
        <v>935</v>
      </c>
      <c r="C637" s="75"/>
      <c r="D637" s="119">
        <f>D638</f>
        <v>28242</v>
      </c>
      <c r="E637" s="119">
        <f t="shared" ref="E637:F637" si="219">E638</f>
        <v>28242</v>
      </c>
      <c r="F637" s="119">
        <f t="shared" si="219"/>
        <v>0</v>
      </c>
      <c r="L637" s="212"/>
      <c r="M637" s="212"/>
      <c r="N637" s="212"/>
    </row>
    <row r="638" spans="1:14" s="82" customFormat="1" x14ac:dyDescent="0.25">
      <c r="A638" s="24" t="s">
        <v>227</v>
      </c>
      <c r="B638" s="75" t="s">
        <v>935</v>
      </c>
      <c r="C638" s="75" t="s">
        <v>193</v>
      </c>
      <c r="D638" s="119">
        <f>'ведомств. стр. 2025-2027'!G570</f>
        <v>28242</v>
      </c>
      <c r="E638" s="119">
        <f>'ведомств. стр. 2025-2027'!H570</f>
        <v>28242</v>
      </c>
      <c r="F638" s="119">
        <f>'ведомств. стр. 2025-2027'!I570</f>
        <v>0</v>
      </c>
      <c r="L638" s="212"/>
      <c r="M638" s="212"/>
      <c r="N638" s="212"/>
    </row>
    <row r="639" spans="1:14" s="82" customFormat="1" ht="25.5" x14ac:dyDescent="0.25">
      <c r="A639" s="24" t="s">
        <v>1013</v>
      </c>
      <c r="B639" s="75" t="s">
        <v>1012</v>
      </c>
      <c r="C639" s="75"/>
      <c r="D639" s="119">
        <f>D640</f>
        <v>11290</v>
      </c>
      <c r="E639" s="119">
        <f t="shared" ref="E639:F639" si="220">E640</f>
        <v>0</v>
      </c>
      <c r="F639" s="119">
        <f t="shared" si="220"/>
        <v>0</v>
      </c>
      <c r="L639" s="212"/>
      <c r="M639" s="212"/>
      <c r="N639" s="212"/>
    </row>
    <row r="640" spans="1:14" s="82" customFormat="1" x14ac:dyDescent="0.25">
      <c r="A640" s="24" t="s">
        <v>227</v>
      </c>
      <c r="B640" s="75" t="s">
        <v>1012</v>
      </c>
      <c r="C640" s="75" t="s">
        <v>193</v>
      </c>
      <c r="D640" s="119">
        <f>'ведомств. стр. 2025-2027'!G572</f>
        <v>11290</v>
      </c>
      <c r="E640" s="119">
        <f>'ведомств. стр. 2025-2027'!H572</f>
        <v>0</v>
      </c>
      <c r="F640" s="119">
        <f>'ведомств. стр. 2025-2027'!I572</f>
        <v>0</v>
      </c>
      <c r="L640" s="212"/>
      <c r="M640" s="212"/>
      <c r="N640" s="212"/>
    </row>
    <row r="641" spans="1:14" s="82" customFormat="1" ht="25.5" x14ac:dyDescent="0.25">
      <c r="A641" s="81" t="s">
        <v>454</v>
      </c>
      <c r="B641" s="80" t="s">
        <v>455</v>
      </c>
      <c r="C641" s="80"/>
      <c r="D641" s="117">
        <f>D642+D673</f>
        <v>102179.5</v>
      </c>
      <c r="E641" s="117">
        <f>E642+E673</f>
        <v>106284.8</v>
      </c>
      <c r="F641" s="117">
        <f>F642+F673</f>
        <v>110550.39999999999</v>
      </c>
      <c r="I641" s="198"/>
      <c r="J641" s="198"/>
      <c r="K641" s="198"/>
      <c r="L641" s="212"/>
      <c r="M641" s="212"/>
      <c r="N641" s="212"/>
    </row>
    <row r="642" spans="1:14" s="82" customFormat="1" ht="24" customHeight="1" x14ac:dyDescent="0.25">
      <c r="A642" s="112" t="s">
        <v>759</v>
      </c>
      <c r="B642" s="111" t="s">
        <v>456</v>
      </c>
      <c r="C642" s="111"/>
      <c r="D642" s="118">
        <f>D643+D649+D663+D669</f>
        <v>94983.1</v>
      </c>
      <c r="E642" s="118">
        <f>E643+E649+E663+E669</f>
        <v>98805.5</v>
      </c>
      <c r="F642" s="118">
        <f>F643+F649+F663+F669</f>
        <v>102776.9</v>
      </c>
      <c r="G642" s="110"/>
      <c r="H642" s="110"/>
      <c r="I642" s="110"/>
      <c r="L642" s="212"/>
      <c r="M642" s="212"/>
      <c r="N642" s="212"/>
    </row>
    <row r="643" spans="1:14" s="82" customFormat="1" ht="25.5" x14ac:dyDescent="0.25">
      <c r="A643" s="72" t="s">
        <v>795</v>
      </c>
      <c r="B643" s="73" t="s">
        <v>457</v>
      </c>
      <c r="C643" s="73"/>
      <c r="D643" s="116">
        <f>D644+D647</f>
        <v>2775</v>
      </c>
      <c r="E643" s="116">
        <f t="shared" ref="E643:F643" si="221">E644+E647</f>
        <v>2775</v>
      </c>
      <c r="F643" s="116">
        <f t="shared" si="221"/>
        <v>2775</v>
      </c>
      <c r="L643" s="212"/>
      <c r="M643" s="212"/>
      <c r="N643" s="212"/>
    </row>
    <row r="644" spans="1:14" s="82" customFormat="1" ht="25.5" x14ac:dyDescent="0.25">
      <c r="A644" s="24" t="s">
        <v>60</v>
      </c>
      <c r="B644" s="75" t="s">
        <v>458</v>
      </c>
      <c r="C644" s="75"/>
      <c r="D644" s="119">
        <f>D645+D646</f>
        <v>2300</v>
      </c>
      <c r="E644" s="119">
        <f>E645+E646</f>
        <v>2300</v>
      </c>
      <c r="F644" s="119">
        <f>F645+F646</f>
        <v>2300</v>
      </c>
      <c r="L644" s="212"/>
      <c r="M644" s="212"/>
      <c r="N644" s="212"/>
    </row>
    <row r="645" spans="1:14" s="82" customFormat="1" ht="38.25" x14ac:dyDescent="0.25">
      <c r="A645" s="24" t="s">
        <v>225</v>
      </c>
      <c r="B645" s="75" t="s">
        <v>458</v>
      </c>
      <c r="C645" s="75" t="s">
        <v>66</v>
      </c>
      <c r="D645" s="119">
        <f>'ведомств. стр. 2025-2027'!G431</f>
        <v>500</v>
      </c>
      <c r="E645" s="119">
        <f>'ведомств. стр. 2025-2027'!H431</f>
        <v>500</v>
      </c>
      <c r="F645" s="119">
        <f>'ведомств. стр. 2025-2027'!I431</f>
        <v>500</v>
      </c>
      <c r="L645" s="212"/>
      <c r="M645" s="212"/>
      <c r="N645" s="212"/>
    </row>
    <row r="646" spans="1:14" s="82" customFormat="1" ht="25.5" x14ac:dyDescent="0.25">
      <c r="A646" s="24" t="s">
        <v>226</v>
      </c>
      <c r="B646" s="75" t="s">
        <v>458</v>
      </c>
      <c r="C646" s="75" t="s">
        <v>59</v>
      </c>
      <c r="D646" s="119">
        <f>'ведомств. стр. 2025-2027'!G432</f>
        <v>1800</v>
      </c>
      <c r="E646" s="119">
        <f>'ведомств. стр. 2025-2027'!H432</f>
        <v>1800</v>
      </c>
      <c r="F646" s="119">
        <f>'ведомств. стр. 2025-2027'!I432</f>
        <v>1800</v>
      </c>
      <c r="L646" s="212"/>
      <c r="M646" s="212"/>
      <c r="N646" s="212"/>
    </row>
    <row r="647" spans="1:14" s="82" customFormat="1" x14ac:dyDescent="0.25">
      <c r="A647" s="24" t="s">
        <v>633</v>
      </c>
      <c r="B647" s="75" t="s">
        <v>634</v>
      </c>
      <c r="C647" s="75"/>
      <c r="D647" s="119">
        <f>D648</f>
        <v>475</v>
      </c>
      <c r="E647" s="119">
        <f t="shared" ref="E647:F647" si="222">E648</f>
        <v>475</v>
      </c>
      <c r="F647" s="119">
        <f t="shared" si="222"/>
        <v>475</v>
      </c>
      <c r="L647" s="212"/>
      <c r="M647" s="212"/>
      <c r="N647" s="212"/>
    </row>
    <row r="648" spans="1:14" s="82" customFormat="1" ht="25.5" x14ac:dyDescent="0.25">
      <c r="A648" s="24" t="s">
        <v>226</v>
      </c>
      <c r="B648" s="75" t="s">
        <v>634</v>
      </c>
      <c r="C648" s="75" t="s">
        <v>59</v>
      </c>
      <c r="D648" s="119">
        <f>'ведомств. стр. 2025-2027'!G434</f>
        <v>475</v>
      </c>
      <c r="E648" s="119">
        <f>'ведомств. стр. 2025-2027'!H434</f>
        <v>475</v>
      </c>
      <c r="F648" s="119">
        <f>'ведомств. стр. 2025-2027'!I434</f>
        <v>475</v>
      </c>
      <c r="L648" s="212"/>
      <c r="M648" s="212"/>
      <c r="N648" s="212"/>
    </row>
    <row r="649" spans="1:14" s="82" customFormat="1" ht="25.5" x14ac:dyDescent="0.25">
      <c r="A649" s="72" t="s">
        <v>794</v>
      </c>
      <c r="B649" s="73" t="s">
        <v>459</v>
      </c>
      <c r="C649" s="73"/>
      <c r="D649" s="116">
        <f>D650+D661</f>
        <v>74578.8</v>
      </c>
      <c r="E649" s="116">
        <f t="shared" ref="E649:F649" si="223">E650+E661</f>
        <v>77712.7</v>
      </c>
      <c r="F649" s="116">
        <f t="shared" si="223"/>
        <v>80967.899999999994</v>
      </c>
      <c r="L649" s="212"/>
      <c r="M649" s="212"/>
      <c r="N649" s="212"/>
    </row>
    <row r="650" spans="1:14" s="82" customFormat="1" ht="25.5" x14ac:dyDescent="0.25">
      <c r="A650" s="24" t="s">
        <v>242</v>
      </c>
      <c r="B650" s="75" t="s">
        <v>460</v>
      </c>
      <c r="C650" s="75"/>
      <c r="D650" s="119">
        <f>D651+D653+D655+D659+D657</f>
        <v>72060.800000000003</v>
      </c>
      <c r="E650" s="119">
        <f t="shared" ref="E650:F650" si="224">E651+E653+E655+E659+E657</f>
        <v>75194.7</v>
      </c>
      <c r="F650" s="119">
        <f t="shared" si="224"/>
        <v>78449.899999999994</v>
      </c>
      <c r="L650" s="212"/>
      <c r="M650" s="212"/>
      <c r="N650" s="212"/>
    </row>
    <row r="651" spans="1:14" s="82" customFormat="1" ht="38.25" x14ac:dyDescent="0.25">
      <c r="A651" s="24" t="s">
        <v>354</v>
      </c>
      <c r="B651" s="75" t="s">
        <v>461</v>
      </c>
      <c r="C651" s="75"/>
      <c r="D651" s="119">
        <f>D652</f>
        <v>63454.400000000001</v>
      </c>
      <c r="E651" s="119">
        <f>E652</f>
        <v>66611.5</v>
      </c>
      <c r="F651" s="119">
        <f>F652</f>
        <v>69807.3</v>
      </c>
      <c r="L651" s="212"/>
      <c r="M651" s="212"/>
      <c r="N651" s="212"/>
    </row>
    <row r="652" spans="1:14" s="82" customFormat="1" ht="25.5" x14ac:dyDescent="0.25">
      <c r="A652" s="24" t="s">
        <v>64</v>
      </c>
      <c r="B652" s="75" t="s">
        <v>461</v>
      </c>
      <c r="C652" s="75" t="s">
        <v>65</v>
      </c>
      <c r="D652" s="119">
        <f>'ведомств. стр. 2025-2027'!G415</f>
        <v>63454.400000000001</v>
      </c>
      <c r="E652" s="119">
        <f>'ведомств. стр. 2025-2027'!H415</f>
        <v>66611.5</v>
      </c>
      <c r="F652" s="119">
        <f>'ведомств. стр. 2025-2027'!I415</f>
        <v>69807.3</v>
      </c>
      <c r="L652" s="212"/>
      <c r="M652" s="212"/>
      <c r="N652" s="212"/>
    </row>
    <row r="653" spans="1:14" s="82" customFormat="1" ht="25.5" x14ac:dyDescent="0.25">
      <c r="A653" s="24" t="s">
        <v>353</v>
      </c>
      <c r="B653" s="75" t="s">
        <v>462</v>
      </c>
      <c r="C653" s="75"/>
      <c r="D653" s="119">
        <f>D654</f>
        <v>1415.6</v>
      </c>
      <c r="E653" s="119">
        <f>E654</f>
        <v>1472.8</v>
      </c>
      <c r="F653" s="119">
        <f>F654</f>
        <v>1532.2</v>
      </c>
      <c r="L653" s="212"/>
      <c r="M653" s="212"/>
      <c r="N653" s="212"/>
    </row>
    <row r="654" spans="1:14" s="82" customFormat="1" ht="25.5" x14ac:dyDescent="0.25">
      <c r="A654" s="24" t="s">
        <v>64</v>
      </c>
      <c r="B654" s="75" t="s">
        <v>462</v>
      </c>
      <c r="C654" s="75" t="s">
        <v>65</v>
      </c>
      <c r="D654" s="119">
        <f>'ведомств. стр. 2025-2027'!G417</f>
        <v>1415.6</v>
      </c>
      <c r="E654" s="119">
        <f>'ведомств. стр. 2025-2027'!H417</f>
        <v>1472.8</v>
      </c>
      <c r="F654" s="119">
        <f>'ведомств. стр. 2025-2027'!I417</f>
        <v>1532.2</v>
      </c>
      <c r="L654" s="212"/>
      <c r="M654" s="212"/>
      <c r="N654" s="212"/>
    </row>
    <row r="655" spans="1:14" s="82" customFormat="1" ht="25.5" x14ac:dyDescent="0.25">
      <c r="A655" s="24" t="s">
        <v>356</v>
      </c>
      <c r="B655" s="75" t="s">
        <v>463</v>
      </c>
      <c r="C655" s="75"/>
      <c r="D655" s="119">
        <f>D656</f>
        <v>16.899999999999999</v>
      </c>
      <c r="E655" s="119">
        <f>E656</f>
        <v>16.899999999999999</v>
      </c>
      <c r="F655" s="119">
        <f>F656</f>
        <v>16.899999999999999</v>
      </c>
      <c r="L655" s="212"/>
      <c r="M655" s="212"/>
      <c r="N655" s="212"/>
    </row>
    <row r="656" spans="1:14" s="82" customFormat="1" ht="25.5" x14ac:dyDescent="0.25">
      <c r="A656" s="24" t="s">
        <v>64</v>
      </c>
      <c r="B656" s="75" t="s">
        <v>463</v>
      </c>
      <c r="C656" s="75" t="s">
        <v>65</v>
      </c>
      <c r="D656" s="119">
        <f>'ведомств. стр. 2025-2027'!G419</f>
        <v>16.899999999999999</v>
      </c>
      <c r="E656" s="119">
        <f>'ведомств. стр. 2025-2027'!H419</f>
        <v>16.899999999999999</v>
      </c>
      <c r="F656" s="119">
        <f>'ведомств. стр. 2025-2027'!I419</f>
        <v>16.899999999999999</v>
      </c>
      <c r="L656" s="212"/>
      <c r="M656" s="212"/>
      <c r="N656" s="212"/>
    </row>
    <row r="657" spans="1:14" s="82" customFormat="1" ht="25.5" x14ac:dyDescent="0.25">
      <c r="A657" s="24" t="s">
        <v>698</v>
      </c>
      <c r="B657" s="75" t="s">
        <v>880</v>
      </c>
      <c r="C657" s="75"/>
      <c r="D657" s="119">
        <f>D658</f>
        <v>1533</v>
      </c>
      <c r="E657" s="119">
        <f t="shared" ref="E657:F657" si="225">E658</f>
        <v>1533</v>
      </c>
      <c r="F657" s="119">
        <f t="shared" si="225"/>
        <v>1533</v>
      </c>
      <c r="L657" s="212"/>
      <c r="M657" s="212"/>
      <c r="N657" s="212"/>
    </row>
    <row r="658" spans="1:14" s="82" customFormat="1" ht="25.5" x14ac:dyDescent="0.25">
      <c r="A658" s="24" t="s">
        <v>64</v>
      </c>
      <c r="B658" s="75" t="s">
        <v>880</v>
      </c>
      <c r="C658" s="75" t="s">
        <v>65</v>
      </c>
      <c r="D658" s="119">
        <f>'ведомств. стр. 2025-2027'!G421</f>
        <v>1533</v>
      </c>
      <c r="E658" s="119">
        <f>'ведомств. стр. 2025-2027'!H421</f>
        <v>1533</v>
      </c>
      <c r="F658" s="119">
        <f>'ведомств. стр. 2025-2027'!I421</f>
        <v>1533</v>
      </c>
      <c r="L658" s="212"/>
      <c r="M658" s="212"/>
      <c r="N658" s="212"/>
    </row>
    <row r="659" spans="1:14" s="82" customFormat="1" ht="25.5" x14ac:dyDescent="0.25">
      <c r="A659" s="24" t="s">
        <v>357</v>
      </c>
      <c r="B659" s="75" t="s">
        <v>464</v>
      </c>
      <c r="C659" s="75"/>
      <c r="D659" s="119">
        <f>D660</f>
        <v>5640.9</v>
      </c>
      <c r="E659" s="119">
        <f>E660</f>
        <v>5560.5</v>
      </c>
      <c r="F659" s="119">
        <f>F660</f>
        <v>5560.5</v>
      </c>
      <c r="L659" s="212"/>
      <c r="M659" s="212"/>
      <c r="N659" s="212"/>
    </row>
    <row r="660" spans="1:14" s="82" customFormat="1" ht="25.5" x14ac:dyDescent="0.25">
      <c r="A660" s="24" t="s">
        <v>64</v>
      </c>
      <c r="B660" s="75" t="s">
        <v>464</v>
      </c>
      <c r="C660" s="75" t="s">
        <v>65</v>
      </c>
      <c r="D660" s="119">
        <f>'ведомств. стр. 2025-2027'!G423</f>
        <v>5640.9</v>
      </c>
      <c r="E660" s="119">
        <f>'ведомств. стр. 2025-2027'!H423</f>
        <v>5560.5</v>
      </c>
      <c r="F660" s="119">
        <f>'ведомств. стр. 2025-2027'!I423</f>
        <v>5560.5</v>
      </c>
      <c r="L660" s="212"/>
      <c r="M660" s="212"/>
      <c r="N660" s="212"/>
    </row>
    <row r="661" spans="1:14" s="82" customFormat="1" ht="25.5" x14ac:dyDescent="0.25">
      <c r="A661" s="24" t="s">
        <v>358</v>
      </c>
      <c r="B661" s="75" t="s">
        <v>465</v>
      </c>
      <c r="C661" s="75"/>
      <c r="D661" s="119">
        <f>D662</f>
        <v>2518</v>
      </c>
      <c r="E661" s="119">
        <f>E662</f>
        <v>2518</v>
      </c>
      <c r="F661" s="119">
        <f>F662</f>
        <v>2518</v>
      </c>
      <c r="L661" s="212"/>
      <c r="M661" s="212"/>
      <c r="N661" s="212"/>
    </row>
    <row r="662" spans="1:14" s="82" customFormat="1" ht="25.5" x14ac:dyDescent="0.25">
      <c r="A662" s="24" t="s">
        <v>64</v>
      </c>
      <c r="B662" s="75" t="s">
        <v>465</v>
      </c>
      <c r="C662" s="75" t="s">
        <v>65</v>
      </c>
      <c r="D662" s="119">
        <f>'ведомств. стр. 2025-2027'!G425</f>
        <v>2518</v>
      </c>
      <c r="E662" s="119">
        <f>'ведомств. стр. 2025-2027'!H425</f>
        <v>2518</v>
      </c>
      <c r="F662" s="119">
        <f>'ведомств. стр. 2025-2027'!I425</f>
        <v>2518</v>
      </c>
      <c r="L662" s="212"/>
      <c r="M662" s="212"/>
      <c r="N662" s="212"/>
    </row>
    <row r="663" spans="1:14" s="82" customFormat="1" ht="25.5" x14ac:dyDescent="0.25">
      <c r="A663" s="72" t="s">
        <v>796</v>
      </c>
      <c r="B663" s="73" t="s">
        <v>466</v>
      </c>
      <c r="C663" s="73"/>
      <c r="D663" s="116">
        <f>D664</f>
        <v>17179.3</v>
      </c>
      <c r="E663" s="116">
        <f>E664</f>
        <v>17867.8</v>
      </c>
      <c r="F663" s="116">
        <f>F664</f>
        <v>18584</v>
      </c>
      <c r="L663" s="212"/>
      <c r="M663" s="212"/>
      <c r="N663" s="212"/>
    </row>
    <row r="664" spans="1:14" s="82" customFormat="1" ht="25.5" x14ac:dyDescent="0.25">
      <c r="A664" s="24" t="s">
        <v>242</v>
      </c>
      <c r="B664" s="75" t="s">
        <v>467</v>
      </c>
      <c r="C664" s="75"/>
      <c r="D664" s="119">
        <f>D665+D667</f>
        <v>17179.3</v>
      </c>
      <c r="E664" s="119">
        <f t="shared" ref="E664:F664" si="226">E665+E667</f>
        <v>17867.8</v>
      </c>
      <c r="F664" s="119">
        <f t="shared" si="226"/>
        <v>18584</v>
      </c>
      <c r="L664" s="212"/>
      <c r="M664" s="212"/>
      <c r="N664" s="212"/>
    </row>
    <row r="665" spans="1:14" s="82" customFormat="1" ht="38.25" x14ac:dyDescent="0.25">
      <c r="A665" s="24" t="s">
        <v>354</v>
      </c>
      <c r="B665" s="75" t="s">
        <v>468</v>
      </c>
      <c r="C665" s="75"/>
      <c r="D665" s="119">
        <f>D666</f>
        <v>13711.7</v>
      </c>
      <c r="E665" s="119">
        <f>E666</f>
        <v>14260.2</v>
      </c>
      <c r="F665" s="119">
        <f>F666</f>
        <v>14830.6</v>
      </c>
      <c r="L665" s="212"/>
      <c r="M665" s="212"/>
      <c r="N665" s="212"/>
    </row>
    <row r="666" spans="1:14" s="82" customFormat="1" ht="25.5" x14ac:dyDescent="0.25">
      <c r="A666" s="24" t="s">
        <v>64</v>
      </c>
      <c r="B666" s="75" t="s">
        <v>468</v>
      </c>
      <c r="C666" s="75" t="s">
        <v>65</v>
      </c>
      <c r="D666" s="119">
        <f>'ведомств. стр. 2025-2027'!G438</f>
        <v>13711.7</v>
      </c>
      <c r="E666" s="119">
        <f>'ведомств. стр. 2025-2027'!H438</f>
        <v>14260.2</v>
      </c>
      <c r="F666" s="119">
        <f>'ведомств. стр. 2025-2027'!I438</f>
        <v>14830.6</v>
      </c>
      <c r="L666" s="212"/>
      <c r="M666" s="212"/>
      <c r="N666" s="212"/>
    </row>
    <row r="667" spans="1:14" s="82" customFormat="1" ht="25.5" x14ac:dyDescent="0.25">
      <c r="A667" s="24" t="s">
        <v>353</v>
      </c>
      <c r="B667" s="75" t="s">
        <v>469</v>
      </c>
      <c r="C667" s="75"/>
      <c r="D667" s="119">
        <f>D668</f>
        <v>3467.6</v>
      </c>
      <c r="E667" s="119">
        <f>E668</f>
        <v>3607.6</v>
      </c>
      <c r="F667" s="119">
        <f>F668</f>
        <v>3753.4</v>
      </c>
      <c r="L667" s="212"/>
      <c r="M667" s="212"/>
      <c r="N667" s="212"/>
    </row>
    <row r="668" spans="1:14" s="82" customFormat="1" ht="25.5" x14ac:dyDescent="0.25">
      <c r="A668" s="24" t="s">
        <v>64</v>
      </c>
      <c r="B668" s="75" t="s">
        <v>469</v>
      </c>
      <c r="C668" s="75" t="s">
        <v>65</v>
      </c>
      <c r="D668" s="119">
        <f>'ведомств. стр. 2025-2027'!G440</f>
        <v>3467.6</v>
      </c>
      <c r="E668" s="119">
        <f>'ведомств. стр. 2025-2027'!H440</f>
        <v>3607.6</v>
      </c>
      <c r="F668" s="119">
        <f>'ведомств. стр. 2025-2027'!I440</f>
        <v>3753.4</v>
      </c>
      <c r="L668" s="212"/>
      <c r="M668" s="212"/>
      <c r="N668" s="212"/>
    </row>
    <row r="669" spans="1:14" s="82" customFormat="1" ht="25.5" x14ac:dyDescent="0.25">
      <c r="A669" s="72" t="s">
        <v>797</v>
      </c>
      <c r="B669" s="73" t="s">
        <v>470</v>
      </c>
      <c r="C669" s="73"/>
      <c r="D669" s="116">
        <f t="shared" ref="D669:F671" si="227">D670</f>
        <v>450</v>
      </c>
      <c r="E669" s="116">
        <f t="shared" si="227"/>
        <v>450</v>
      </c>
      <c r="F669" s="116">
        <f t="shared" si="227"/>
        <v>450</v>
      </c>
      <c r="L669" s="212"/>
      <c r="M669" s="212"/>
      <c r="N669" s="212"/>
    </row>
    <row r="670" spans="1:14" s="82" customFormat="1" ht="25.5" x14ac:dyDescent="0.25">
      <c r="A670" s="24" t="s">
        <v>242</v>
      </c>
      <c r="B670" s="75" t="s">
        <v>471</v>
      </c>
      <c r="C670" s="75"/>
      <c r="D670" s="119">
        <f t="shared" si="227"/>
        <v>450</v>
      </c>
      <c r="E670" s="119">
        <f t="shared" si="227"/>
        <v>450</v>
      </c>
      <c r="F670" s="119">
        <f t="shared" si="227"/>
        <v>450</v>
      </c>
      <c r="L670" s="212"/>
      <c r="M670" s="212"/>
      <c r="N670" s="212"/>
    </row>
    <row r="671" spans="1:14" s="82" customFormat="1" ht="38.25" x14ac:dyDescent="0.25">
      <c r="A671" s="24" t="s">
        <v>354</v>
      </c>
      <c r="B671" s="75" t="s">
        <v>472</v>
      </c>
      <c r="C671" s="75"/>
      <c r="D671" s="119">
        <f t="shared" si="227"/>
        <v>450</v>
      </c>
      <c r="E671" s="119">
        <f t="shared" si="227"/>
        <v>450</v>
      </c>
      <c r="F671" s="119">
        <f t="shared" si="227"/>
        <v>450</v>
      </c>
      <c r="L671" s="212"/>
      <c r="M671" s="212"/>
      <c r="N671" s="212"/>
    </row>
    <row r="672" spans="1:14" s="82" customFormat="1" ht="25.5" x14ac:dyDescent="0.25">
      <c r="A672" s="24" t="s">
        <v>64</v>
      </c>
      <c r="B672" s="75" t="s">
        <v>472</v>
      </c>
      <c r="C672" s="75" t="s">
        <v>65</v>
      </c>
      <c r="D672" s="119">
        <f>'ведомств. стр. 2025-2027'!G444</f>
        <v>450</v>
      </c>
      <c r="E672" s="119">
        <f>'ведомств. стр. 2025-2027'!H444</f>
        <v>450</v>
      </c>
      <c r="F672" s="119">
        <f>'ведомств. стр. 2025-2027'!I444</f>
        <v>450</v>
      </c>
      <c r="L672" s="212"/>
      <c r="M672" s="212"/>
      <c r="N672" s="212"/>
    </row>
    <row r="673" spans="1:14" s="82" customFormat="1" ht="27" x14ac:dyDescent="0.25">
      <c r="A673" s="112" t="s">
        <v>760</v>
      </c>
      <c r="B673" s="111" t="s">
        <v>473</v>
      </c>
      <c r="C673" s="111"/>
      <c r="D673" s="118">
        <f t="shared" ref="D673:F674" si="228">D674</f>
        <v>7196.4</v>
      </c>
      <c r="E673" s="118">
        <f t="shared" si="228"/>
        <v>7479.3</v>
      </c>
      <c r="F673" s="118">
        <f t="shared" si="228"/>
        <v>7773.5</v>
      </c>
      <c r="L673" s="212"/>
      <c r="M673" s="212"/>
      <c r="N673" s="212"/>
    </row>
    <row r="674" spans="1:14" s="82" customFormat="1" ht="30" customHeight="1" x14ac:dyDescent="0.25">
      <c r="A674" s="72" t="s">
        <v>793</v>
      </c>
      <c r="B674" s="73" t="s">
        <v>474</v>
      </c>
      <c r="C674" s="73"/>
      <c r="D674" s="116">
        <f t="shared" si="228"/>
        <v>7196.4</v>
      </c>
      <c r="E674" s="116">
        <f t="shared" si="228"/>
        <v>7479.3</v>
      </c>
      <c r="F674" s="116">
        <f t="shared" si="228"/>
        <v>7773.5</v>
      </c>
      <c r="L674" s="212"/>
      <c r="M674" s="212"/>
      <c r="N674" s="212"/>
    </row>
    <row r="675" spans="1:14" s="82" customFormat="1" x14ac:dyDescent="0.25">
      <c r="A675" s="23" t="s">
        <v>138</v>
      </c>
      <c r="B675" s="75" t="s">
        <v>475</v>
      </c>
      <c r="C675" s="75"/>
      <c r="D675" s="119">
        <f>D676+D677</f>
        <v>7196.4</v>
      </c>
      <c r="E675" s="119">
        <f t="shared" ref="E675:F675" si="229">E676+E677</f>
        <v>7479.3</v>
      </c>
      <c r="F675" s="119">
        <f t="shared" si="229"/>
        <v>7773.5</v>
      </c>
      <c r="L675" s="212"/>
      <c r="M675" s="212"/>
      <c r="N675" s="212"/>
    </row>
    <row r="676" spans="1:14" s="82" customFormat="1" ht="38.25" x14ac:dyDescent="0.25">
      <c r="A676" s="24" t="s">
        <v>225</v>
      </c>
      <c r="B676" s="75" t="s">
        <v>475</v>
      </c>
      <c r="C676" s="75" t="s">
        <v>66</v>
      </c>
      <c r="D676" s="119">
        <f>'ведомств. стр. 2025-2027'!G464</f>
        <v>7071.2</v>
      </c>
      <c r="E676" s="119">
        <f>'ведомств. стр. 2025-2027'!H464</f>
        <v>7354.1</v>
      </c>
      <c r="F676" s="119">
        <f>'ведомств. стр. 2025-2027'!I464</f>
        <v>7648.3</v>
      </c>
      <c r="L676" s="212"/>
      <c r="M676" s="212"/>
      <c r="N676" s="212"/>
    </row>
    <row r="677" spans="1:14" s="82" customFormat="1" ht="25.5" x14ac:dyDescent="0.25">
      <c r="A677" s="24" t="s">
        <v>226</v>
      </c>
      <c r="B677" s="75" t="s">
        <v>475</v>
      </c>
      <c r="C677" s="75" t="s">
        <v>59</v>
      </c>
      <c r="D677" s="119">
        <f>'ведомств. стр. 2025-2027'!G465</f>
        <v>125.2</v>
      </c>
      <c r="E677" s="119">
        <f>'ведомств. стр. 2025-2027'!H465</f>
        <v>125.2</v>
      </c>
      <c r="F677" s="119">
        <f>'ведомств. стр. 2025-2027'!I465</f>
        <v>125.2</v>
      </c>
      <c r="L677" s="212"/>
      <c r="M677" s="212"/>
      <c r="N677" s="212"/>
    </row>
    <row r="678" spans="1:14" s="82" customFormat="1" ht="25.5" x14ac:dyDescent="0.25">
      <c r="A678" s="81" t="s">
        <v>721</v>
      </c>
      <c r="B678" s="80" t="s">
        <v>688</v>
      </c>
      <c r="C678" s="80"/>
      <c r="D678" s="117">
        <f>D679</f>
        <v>30</v>
      </c>
      <c r="E678" s="117">
        <f t="shared" ref="E678:F678" si="230">E679</f>
        <v>31.2</v>
      </c>
      <c r="F678" s="117">
        <f t="shared" si="230"/>
        <v>32.4</v>
      </c>
      <c r="L678" s="212"/>
      <c r="M678" s="212"/>
      <c r="N678" s="212"/>
    </row>
    <row r="679" spans="1:14" s="82" customFormat="1" x14ac:dyDescent="0.25">
      <c r="A679" s="72" t="s">
        <v>846</v>
      </c>
      <c r="B679" s="73" t="s">
        <v>689</v>
      </c>
      <c r="C679" s="73"/>
      <c r="D679" s="116">
        <f>D680+D682+D684+D686</f>
        <v>30</v>
      </c>
      <c r="E679" s="116">
        <f t="shared" ref="E679:F679" si="231">E680+E682+E684+E686</f>
        <v>31.2</v>
      </c>
      <c r="F679" s="116">
        <f t="shared" si="231"/>
        <v>32.4</v>
      </c>
      <c r="L679" s="212"/>
      <c r="M679" s="212"/>
      <c r="N679" s="212"/>
    </row>
    <row r="680" spans="1:14" s="82" customFormat="1" ht="25.5" x14ac:dyDescent="0.25">
      <c r="A680" s="24" t="s">
        <v>691</v>
      </c>
      <c r="B680" s="75" t="s">
        <v>690</v>
      </c>
      <c r="C680" s="75"/>
      <c r="D680" s="119">
        <f>D681</f>
        <v>8</v>
      </c>
      <c r="E680" s="119">
        <f t="shared" ref="E680:F680" si="232">E681</f>
        <v>8.1</v>
      </c>
      <c r="F680" s="119">
        <f t="shared" si="232"/>
        <v>8.4</v>
      </c>
      <c r="L680" s="212"/>
      <c r="M680" s="212"/>
      <c r="N680" s="212"/>
    </row>
    <row r="681" spans="1:14" s="82" customFormat="1" ht="25.5" x14ac:dyDescent="0.25">
      <c r="A681" s="24" t="s">
        <v>226</v>
      </c>
      <c r="B681" s="75" t="s">
        <v>690</v>
      </c>
      <c r="C681" s="75" t="s">
        <v>59</v>
      </c>
      <c r="D681" s="119">
        <f>'ведомств. стр. 2025-2027'!G448</f>
        <v>8</v>
      </c>
      <c r="E681" s="119">
        <f>'ведомств. стр. 2025-2027'!H448</f>
        <v>8.1</v>
      </c>
      <c r="F681" s="119">
        <f>'ведомств. стр. 2025-2027'!I448</f>
        <v>8.4</v>
      </c>
      <c r="L681" s="212"/>
      <c r="M681" s="212"/>
      <c r="N681" s="212"/>
    </row>
    <row r="682" spans="1:14" s="82" customFormat="1" ht="25.5" x14ac:dyDescent="0.25">
      <c r="A682" s="24" t="s">
        <v>693</v>
      </c>
      <c r="B682" s="75" t="s">
        <v>692</v>
      </c>
      <c r="C682" s="75"/>
      <c r="D682" s="119">
        <f>D683</f>
        <v>8</v>
      </c>
      <c r="E682" s="119">
        <f t="shared" ref="E682:F682" si="233">E683</f>
        <v>8.1</v>
      </c>
      <c r="F682" s="119">
        <f t="shared" si="233"/>
        <v>8.4</v>
      </c>
      <c r="L682" s="212"/>
      <c r="M682" s="212"/>
      <c r="N682" s="212"/>
    </row>
    <row r="683" spans="1:14" s="82" customFormat="1" ht="25.5" x14ac:dyDescent="0.25">
      <c r="A683" s="24" t="s">
        <v>226</v>
      </c>
      <c r="B683" s="75" t="s">
        <v>692</v>
      </c>
      <c r="C683" s="75" t="s">
        <v>59</v>
      </c>
      <c r="D683" s="119">
        <f>'ведомств. стр. 2025-2027'!G450</f>
        <v>8</v>
      </c>
      <c r="E683" s="119">
        <f>'ведомств. стр. 2025-2027'!H450</f>
        <v>8.1</v>
      </c>
      <c r="F683" s="119">
        <f>'ведомств. стр. 2025-2027'!I450</f>
        <v>8.4</v>
      </c>
      <c r="L683" s="212"/>
      <c r="M683" s="212"/>
      <c r="N683" s="212"/>
    </row>
    <row r="684" spans="1:14" s="82" customFormat="1" x14ac:dyDescent="0.25">
      <c r="A684" s="24" t="s">
        <v>694</v>
      </c>
      <c r="B684" s="75" t="s">
        <v>695</v>
      </c>
      <c r="C684" s="75"/>
      <c r="D684" s="119">
        <f>D685</f>
        <v>7</v>
      </c>
      <c r="E684" s="119">
        <f t="shared" ref="E684:F684" si="234">E685</f>
        <v>7.5</v>
      </c>
      <c r="F684" s="119">
        <f t="shared" si="234"/>
        <v>7.8</v>
      </c>
      <c r="L684" s="212"/>
      <c r="M684" s="212"/>
      <c r="N684" s="212"/>
    </row>
    <row r="685" spans="1:14" s="82" customFormat="1" ht="25.5" x14ac:dyDescent="0.25">
      <c r="A685" s="24" t="s">
        <v>226</v>
      </c>
      <c r="B685" s="75" t="s">
        <v>695</v>
      </c>
      <c r="C685" s="75" t="s">
        <v>59</v>
      </c>
      <c r="D685" s="119">
        <f>'ведомств. стр. 2025-2027'!G452</f>
        <v>7</v>
      </c>
      <c r="E685" s="119">
        <f>'ведомств. стр. 2025-2027'!H452</f>
        <v>7.5</v>
      </c>
      <c r="F685" s="119">
        <f>'ведомств. стр. 2025-2027'!I452</f>
        <v>7.8</v>
      </c>
      <c r="L685" s="212"/>
      <c r="M685" s="212"/>
      <c r="N685" s="212"/>
    </row>
    <row r="686" spans="1:14" s="82" customFormat="1" ht="25.5" x14ac:dyDescent="0.25">
      <c r="A686" s="24" t="s">
        <v>697</v>
      </c>
      <c r="B686" s="75" t="s">
        <v>696</v>
      </c>
      <c r="C686" s="75"/>
      <c r="D686" s="119">
        <f>D687</f>
        <v>7</v>
      </c>
      <c r="E686" s="119">
        <f t="shared" ref="E686:F686" si="235">E687</f>
        <v>7.5</v>
      </c>
      <c r="F686" s="119">
        <f t="shared" si="235"/>
        <v>7.8</v>
      </c>
      <c r="L686" s="212"/>
      <c r="M686" s="212"/>
      <c r="N686" s="212"/>
    </row>
    <row r="687" spans="1:14" s="82" customFormat="1" ht="25.5" x14ac:dyDescent="0.25">
      <c r="A687" s="24" t="s">
        <v>226</v>
      </c>
      <c r="B687" s="75" t="s">
        <v>696</v>
      </c>
      <c r="C687" s="75" t="s">
        <v>59</v>
      </c>
      <c r="D687" s="119">
        <f>'ведомств. стр. 2025-2027'!G454</f>
        <v>7</v>
      </c>
      <c r="E687" s="119">
        <f>'ведомств. стр. 2025-2027'!H454</f>
        <v>7.5</v>
      </c>
      <c r="F687" s="119">
        <f>'ведомств. стр. 2025-2027'!I454</f>
        <v>7.8</v>
      </c>
      <c r="L687" s="212"/>
      <c r="M687" s="212"/>
      <c r="N687" s="212"/>
    </row>
    <row r="688" spans="1:14" s="82" customFormat="1" ht="25.5" x14ac:dyDescent="0.25">
      <c r="A688" s="145" t="s">
        <v>394</v>
      </c>
      <c r="B688" s="80" t="s">
        <v>395</v>
      </c>
      <c r="C688" s="80"/>
      <c r="D688" s="117">
        <f>D689+D693</f>
        <v>27965.8</v>
      </c>
      <c r="E688" s="117">
        <f>E689+E693</f>
        <v>28541.399999999998</v>
      </c>
      <c r="F688" s="117">
        <f>F689+F693</f>
        <v>29623.3</v>
      </c>
      <c r="I688" s="198"/>
      <c r="J688" s="198"/>
      <c r="K688" s="198"/>
      <c r="L688" s="212"/>
      <c r="M688" s="212"/>
      <c r="N688" s="212"/>
    </row>
    <row r="689" spans="1:14" s="82" customFormat="1" ht="25.5" x14ac:dyDescent="0.25">
      <c r="A689" s="23" t="s">
        <v>397</v>
      </c>
      <c r="B689" s="75" t="s">
        <v>396</v>
      </c>
      <c r="C689" s="75"/>
      <c r="D689" s="119">
        <f>D690</f>
        <v>27275.8</v>
      </c>
      <c r="E689" s="119">
        <f>E690</f>
        <v>28241.399999999998</v>
      </c>
      <c r="F689" s="119">
        <f>F690</f>
        <v>29323.3</v>
      </c>
      <c r="L689" s="212"/>
      <c r="M689" s="212"/>
      <c r="N689" s="212"/>
    </row>
    <row r="690" spans="1:14" s="82" customFormat="1" x14ac:dyDescent="0.25">
      <c r="A690" s="24" t="s">
        <v>138</v>
      </c>
      <c r="B690" s="75" t="s">
        <v>398</v>
      </c>
      <c r="C690" s="75"/>
      <c r="D690" s="119">
        <f>D692+D691</f>
        <v>27275.8</v>
      </c>
      <c r="E690" s="119">
        <f t="shared" ref="E690:F690" si="236">E692+E691</f>
        <v>28241.399999999998</v>
      </c>
      <c r="F690" s="119">
        <f t="shared" si="236"/>
        <v>29323.3</v>
      </c>
      <c r="L690" s="212"/>
      <c r="M690" s="212"/>
      <c r="N690" s="212"/>
    </row>
    <row r="691" spans="1:14" s="82" customFormat="1" ht="24.75" customHeight="1" x14ac:dyDescent="0.25">
      <c r="A691" s="24" t="s">
        <v>225</v>
      </c>
      <c r="B691" s="75" t="s">
        <v>398</v>
      </c>
      <c r="C691" s="75" t="s">
        <v>66</v>
      </c>
      <c r="D691" s="119">
        <f>'ведомств. стр. 2025-2027'!G842</f>
        <v>26133.200000000001</v>
      </c>
      <c r="E691" s="119">
        <f>'ведомств. стр. 2025-2027'!H842</f>
        <v>27173.3</v>
      </c>
      <c r="F691" s="119">
        <f>'ведомств. стр. 2025-2027'!I842</f>
        <v>28255.200000000001</v>
      </c>
      <c r="L691" s="212"/>
      <c r="M691" s="212"/>
      <c r="N691" s="212"/>
    </row>
    <row r="692" spans="1:14" s="82" customFormat="1" ht="25.5" x14ac:dyDescent="0.25">
      <c r="A692" s="24" t="s">
        <v>226</v>
      </c>
      <c r="B692" s="75" t="s">
        <v>398</v>
      </c>
      <c r="C692" s="75" t="s">
        <v>59</v>
      </c>
      <c r="D692" s="119">
        <f>'ведомств. стр. 2025-2027'!G843</f>
        <v>1142.5999999999999</v>
      </c>
      <c r="E692" s="119">
        <f>'ведомств. стр. 2025-2027'!H843</f>
        <v>1068.0999999999999</v>
      </c>
      <c r="F692" s="119">
        <f>'ведомств. стр. 2025-2027'!I843</f>
        <v>1068.0999999999999</v>
      </c>
      <c r="L692" s="212"/>
      <c r="M692" s="212"/>
      <c r="N692" s="212"/>
    </row>
    <row r="693" spans="1:14" s="82" customFormat="1" x14ac:dyDescent="0.25">
      <c r="A693" s="23" t="s">
        <v>400</v>
      </c>
      <c r="B693" s="75" t="s">
        <v>399</v>
      </c>
      <c r="C693" s="75"/>
      <c r="D693" s="119">
        <f>D694+D696</f>
        <v>690</v>
      </c>
      <c r="E693" s="119">
        <f t="shared" ref="E693:F693" si="237">E694+E696</f>
        <v>300</v>
      </c>
      <c r="F693" s="119">
        <f t="shared" si="237"/>
        <v>300</v>
      </c>
      <c r="L693" s="212"/>
      <c r="M693" s="212"/>
      <c r="N693" s="212"/>
    </row>
    <row r="694" spans="1:14" s="82" customFormat="1" ht="38.25" x14ac:dyDescent="0.25">
      <c r="A694" s="24" t="s">
        <v>295</v>
      </c>
      <c r="B694" s="75" t="s">
        <v>401</v>
      </c>
      <c r="C694" s="75"/>
      <c r="D694" s="119">
        <f>D695</f>
        <v>200</v>
      </c>
      <c r="E694" s="119">
        <f>E695</f>
        <v>0</v>
      </c>
      <c r="F694" s="119">
        <f>F695</f>
        <v>0</v>
      </c>
      <c r="I694" s="212"/>
      <c r="J694" s="212"/>
      <c r="K694" s="212"/>
      <c r="L694" s="212"/>
      <c r="M694" s="212"/>
      <c r="N694" s="212"/>
    </row>
    <row r="695" spans="1:14" s="82" customFormat="1" ht="25.5" x14ac:dyDescent="0.25">
      <c r="A695" s="24" t="s">
        <v>226</v>
      </c>
      <c r="B695" s="75" t="s">
        <v>401</v>
      </c>
      <c r="C695" s="75" t="s">
        <v>59</v>
      </c>
      <c r="D695" s="119">
        <f>'ведомств. стр. 2025-2027'!G846</f>
        <v>200</v>
      </c>
      <c r="E695" s="119">
        <f>'ведомств. стр. 2025-2027'!H846</f>
        <v>0</v>
      </c>
      <c r="F695" s="119">
        <f>'ведомств. стр. 2025-2027'!I846</f>
        <v>0</v>
      </c>
      <c r="I695" s="212"/>
      <c r="J695" s="212"/>
      <c r="K695" s="212"/>
      <c r="L695" s="212"/>
      <c r="M695" s="212"/>
      <c r="N695" s="212"/>
    </row>
    <row r="696" spans="1:14" s="82" customFormat="1" ht="25.5" x14ac:dyDescent="0.25">
      <c r="A696" s="24" t="s">
        <v>327</v>
      </c>
      <c r="B696" s="75" t="s">
        <v>402</v>
      </c>
      <c r="C696" s="75"/>
      <c r="D696" s="119">
        <f>D697</f>
        <v>490</v>
      </c>
      <c r="E696" s="119">
        <f>E697</f>
        <v>300</v>
      </c>
      <c r="F696" s="119">
        <f>F697</f>
        <v>300</v>
      </c>
      <c r="I696" s="212"/>
      <c r="J696" s="212"/>
      <c r="K696" s="212"/>
      <c r="L696" s="212"/>
      <c r="M696" s="212"/>
      <c r="N696" s="212"/>
    </row>
    <row r="697" spans="1:14" s="82" customFormat="1" ht="25.5" x14ac:dyDescent="0.25">
      <c r="A697" s="24" t="s">
        <v>226</v>
      </c>
      <c r="B697" s="75" t="s">
        <v>402</v>
      </c>
      <c r="C697" s="75" t="s">
        <v>59</v>
      </c>
      <c r="D697" s="119">
        <f>'ведомств. стр. 2025-2027'!G848</f>
        <v>490</v>
      </c>
      <c r="E697" s="119">
        <f>'ведомств. стр. 2025-2027'!H848</f>
        <v>300</v>
      </c>
      <c r="F697" s="119">
        <f>'ведомств. стр. 2025-2027'!I848</f>
        <v>300</v>
      </c>
      <c r="I697" s="212"/>
      <c r="J697" s="212"/>
      <c r="K697" s="212"/>
      <c r="L697" s="212"/>
      <c r="M697" s="212"/>
      <c r="N697" s="212"/>
    </row>
    <row r="698" spans="1:14" s="82" customFormat="1" ht="31.5" customHeight="1" x14ac:dyDescent="0.25">
      <c r="A698" s="76" t="s">
        <v>224</v>
      </c>
      <c r="B698" s="74" t="s">
        <v>152</v>
      </c>
      <c r="C698" s="74"/>
      <c r="D698" s="120">
        <f>D699+D702+D705</f>
        <v>22839.800000000003</v>
      </c>
      <c r="E698" s="120">
        <f>E699+E702+E705</f>
        <v>23645</v>
      </c>
      <c r="F698" s="120">
        <f>F699+F702+F705</f>
        <v>24482.7</v>
      </c>
      <c r="I698" s="216"/>
      <c r="J698" s="216"/>
      <c r="K698" s="216"/>
      <c r="L698" s="212"/>
      <c r="M698" s="212"/>
      <c r="N698" s="212"/>
    </row>
    <row r="699" spans="1:14" s="82" customFormat="1" ht="25.5" x14ac:dyDescent="0.25">
      <c r="A699" s="24" t="s">
        <v>221</v>
      </c>
      <c r="B699" s="75" t="s">
        <v>151</v>
      </c>
      <c r="C699" s="75"/>
      <c r="D699" s="119">
        <f t="shared" ref="D699:F700" si="238">D700</f>
        <v>3027.5</v>
      </c>
      <c r="E699" s="119">
        <f t="shared" si="238"/>
        <v>3072.1</v>
      </c>
      <c r="F699" s="119">
        <f t="shared" si="238"/>
        <v>3195</v>
      </c>
      <c r="I699" s="212"/>
      <c r="J699" s="212"/>
      <c r="K699" s="212"/>
      <c r="L699" s="212"/>
      <c r="M699" s="212"/>
      <c r="N699" s="212"/>
    </row>
    <row r="700" spans="1:14" s="82" customFormat="1" x14ac:dyDescent="0.25">
      <c r="A700" s="23" t="s">
        <v>138</v>
      </c>
      <c r="B700" s="75" t="s">
        <v>153</v>
      </c>
      <c r="C700" s="75"/>
      <c r="D700" s="119">
        <f t="shared" si="238"/>
        <v>3027.5</v>
      </c>
      <c r="E700" s="119">
        <f t="shared" si="238"/>
        <v>3072.1</v>
      </c>
      <c r="F700" s="119">
        <f t="shared" si="238"/>
        <v>3195</v>
      </c>
      <c r="L700" s="212"/>
      <c r="M700" s="212"/>
      <c r="N700" s="212"/>
    </row>
    <row r="701" spans="1:14" s="82" customFormat="1" ht="42.75" customHeight="1" x14ac:dyDescent="0.25">
      <c r="A701" s="24" t="s">
        <v>225</v>
      </c>
      <c r="B701" s="75" t="s">
        <v>153</v>
      </c>
      <c r="C701" s="75" t="s">
        <v>66</v>
      </c>
      <c r="D701" s="119">
        <f>'ведомств. стр. 2025-2027'!G1009</f>
        <v>3027.5</v>
      </c>
      <c r="E701" s="119">
        <f>'ведомств. стр. 2025-2027'!H1009</f>
        <v>3072.1</v>
      </c>
      <c r="F701" s="119">
        <f>'ведомств. стр. 2025-2027'!I1009</f>
        <v>3195</v>
      </c>
      <c r="L701" s="212"/>
      <c r="M701" s="212"/>
      <c r="N701" s="212"/>
    </row>
    <row r="702" spans="1:14" s="82" customFormat="1" x14ac:dyDescent="0.25">
      <c r="A702" s="23" t="s">
        <v>222</v>
      </c>
      <c r="B702" s="75" t="s">
        <v>154</v>
      </c>
      <c r="C702" s="75"/>
      <c r="D702" s="119">
        <f t="shared" ref="D702:F703" si="239">D703</f>
        <v>2762</v>
      </c>
      <c r="E702" s="119">
        <f t="shared" si="239"/>
        <v>2852.4</v>
      </c>
      <c r="F702" s="119">
        <f t="shared" si="239"/>
        <v>2946.5</v>
      </c>
      <c r="L702" s="212"/>
      <c r="M702" s="212"/>
      <c r="N702" s="212"/>
    </row>
    <row r="703" spans="1:14" s="82" customFormat="1" x14ac:dyDescent="0.25">
      <c r="A703" s="23" t="s">
        <v>138</v>
      </c>
      <c r="B703" s="75" t="s">
        <v>155</v>
      </c>
      <c r="C703" s="75"/>
      <c r="D703" s="119">
        <f t="shared" si="239"/>
        <v>2762</v>
      </c>
      <c r="E703" s="119">
        <f t="shared" si="239"/>
        <v>2852.4</v>
      </c>
      <c r="F703" s="119">
        <f t="shared" si="239"/>
        <v>2946.5</v>
      </c>
      <c r="L703" s="212"/>
      <c r="M703" s="212"/>
      <c r="N703" s="212"/>
    </row>
    <row r="704" spans="1:14" s="82" customFormat="1" ht="42" customHeight="1" x14ac:dyDescent="0.25">
      <c r="A704" s="24" t="s">
        <v>225</v>
      </c>
      <c r="B704" s="75" t="s">
        <v>155</v>
      </c>
      <c r="C704" s="75" t="s">
        <v>66</v>
      </c>
      <c r="D704" s="119">
        <f>'ведомств. стр. 2025-2027'!G1012</f>
        <v>2762</v>
      </c>
      <c r="E704" s="119">
        <f>'ведомств. стр. 2025-2027'!H1012</f>
        <v>2852.4</v>
      </c>
      <c r="F704" s="119">
        <f>'ведомств. стр. 2025-2027'!I1012</f>
        <v>2946.5</v>
      </c>
      <c r="L704" s="212"/>
      <c r="M704" s="212"/>
      <c r="N704" s="212"/>
    </row>
    <row r="705" spans="1:14" s="82" customFormat="1" x14ac:dyDescent="0.25">
      <c r="A705" s="24" t="s">
        <v>223</v>
      </c>
      <c r="B705" s="75" t="s">
        <v>156</v>
      </c>
      <c r="C705" s="75"/>
      <c r="D705" s="119">
        <f>D706</f>
        <v>17050.300000000003</v>
      </c>
      <c r="E705" s="119">
        <f>E706</f>
        <v>17720.5</v>
      </c>
      <c r="F705" s="119">
        <f>F706</f>
        <v>18341.2</v>
      </c>
      <c r="L705" s="212"/>
      <c r="M705" s="212"/>
      <c r="N705" s="212"/>
    </row>
    <row r="706" spans="1:14" s="82" customFormat="1" x14ac:dyDescent="0.25">
      <c r="A706" s="24" t="s">
        <v>138</v>
      </c>
      <c r="B706" s="75" t="s">
        <v>157</v>
      </c>
      <c r="C706" s="75"/>
      <c r="D706" s="119">
        <f>D707+D708+D709</f>
        <v>17050.300000000003</v>
      </c>
      <c r="E706" s="119">
        <f>E707+E708+E709</f>
        <v>17720.5</v>
      </c>
      <c r="F706" s="119">
        <f>F707+F708+F709</f>
        <v>18341.2</v>
      </c>
      <c r="L706" s="212"/>
      <c r="M706" s="212"/>
      <c r="N706" s="212"/>
    </row>
    <row r="707" spans="1:14" s="82" customFormat="1" ht="45" customHeight="1" x14ac:dyDescent="0.25">
      <c r="A707" s="24" t="s">
        <v>225</v>
      </c>
      <c r="B707" s="75" t="s">
        <v>157</v>
      </c>
      <c r="C707" s="75" t="s">
        <v>66</v>
      </c>
      <c r="D707" s="119">
        <f>'ведомств. стр. 2025-2027'!G1015</f>
        <v>14833.1</v>
      </c>
      <c r="E707" s="119">
        <f>'ведомств. стр. 2025-2027'!H1015</f>
        <v>15503.3</v>
      </c>
      <c r="F707" s="119">
        <f>'ведомств. стр. 2025-2027'!I1015</f>
        <v>16124</v>
      </c>
      <c r="L707" s="212"/>
      <c r="M707" s="212"/>
      <c r="N707" s="212"/>
    </row>
    <row r="708" spans="1:14" s="82" customFormat="1" ht="25.5" x14ac:dyDescent="0.25">
      <c r="A708" s="24" t="s">
        <v>226</v>
      </c>
      <c r="B708" s="75" t="s">
        <v>157</v>
      </c>
      <c r="C708" s="75" t="s">
        <v>59</v>
      </c>
      <c r="D708" s="119">
        <f>'ведомств. стр. 2025-2027'!G1016</f>
        <v>2188.8000000000002</v>
      </c>
      <c r="E708" s="119">
        <f>'ведомств. стр. 2025-2027'!H1016</f>
        <v>2188.8000000000002</v>
      </c>
      <c r="F708" s="119">
        <f>'ведомств. стр. 2025-2027'!I1016</f>
        <v>2188.8000000000002</v>
      </c>
      <c r="L708" s="212"/>
      <c r="M708" s="212"/>
      <c r="N708" s="212"/>
    </row>
    <row r="709" spans="1:14" s="82" customFormat="1" x14ac:dyDescent="0.25">
      <c r="A709" s="24" t="s">
        <v>95</v>
      </c>
      <c r="B709" s="75" t="s">
        <v>157</v>
      </c>
      <c r="C709" s="75" t="s">
        <v>62</v>
      </c>
      <c r="D709" s="119">
        <f>'ведомств. стр. 2025-2027'!G1017</f>
        <v>28.4</v>
      </c>
      <c r="E709" s="119">
        <f>'ведомств. стр. 2025-2027'!H1017</f>
        <v>28.4</v>
      </c>
      <c r="F709" s="119">
        <f>'ведомств. стр. 2025-2027'!I1017</f>
        <v>28.4</v>
      </c>
      <c r="L709" s="212"/>
      <c r="M709" s="212"/>
      <c r="N709" s="212"/>
    </row>
    <row r="710" spans="1:14" s="82" customFormat="1" x14ac:dyDescent="0.25">
      <c r="A710" s="76" t="s">
        <v>134</v>
      </c>
      <c r="B710" s="74" t="s">
        <v>135</v>
      </c>
      <c r="C710" s="74"/>
      <c r="D710" s="120">
        <f t="shared" ref="D710:F712" si="240">D711</f>
        <v>2954</v>
      </c>
      <c r="E710" s="120">
        <f t="shared" si="240"/>
        <v>3072.1</v>
      </c>
      <c r="F710" s="120">
        <f t="shared" si="240"/>
        <v>3195.1</v>
      </c>
      <c r="L710" s="212"/>
      <c r="M710" s="212"/>
      <c r="N710" s="212"/>
    </row>
    <row r="711" spans="1:14" s="82" customFormat="1" x14ac:dyDescent="0.25">
      <c r="A711" s="24" t="s">
        <v>136</v>
      </c>
      <c r="B711" s="75" t="s">
        <v>137</v>
      </c>
      <c r="C711" s="75"/>
      <c r="D711" s="119">
        <f t="shared" si="240"/>
        <v>2954</v>
      </c>
      <c r="E711" s="119">
        <f t="shared" si="240"/>
        <v>3072.1</v>
      </c>
      <c r="F711" s="119">
        <f t="shared" si="240"/>
        <v>3195.1</v>
      </c>
      <c r="L711" s="212"/>
      <c r="M711" s="212"/>
      <c r="N711" s="212"/>
    </row>
    <row r="712" spans="1:14" s="82" customFormat="1" x14ac:dyDescent="0.25">
      <c r="A712" s="24" t="s">
        <v>138</v>
      </c>
      <c r="B712" s="75" t="s">
        <v>139</v>
      </c>
      <c r="C712" s="75"/>
      <c r="D712" s="119">
        <f t="shared" si="240"/>
        <v>2954</v>
      </c>
      <c r="E712" s="119">
        <f t="shared" si="240"/>
        <v>3072.1</v>
      </c>
      <c r="F712" s="119">
        <f t="shared" si="240"/>
        <v>3195.1</v>
      </c>
      <c r="L712" s="212"/>
      <c r="M712" s="212"/>
      <c r="N712" s="212"/>
    </row>
    <row r="713" spans="1:14" s="82" customFormat="1" ht="38.25" x14ac:dyDescent="0.25">
      <c r="A713" s="24" t="s">
        <v>225</v>
      </c>
      <c r="B713" s="75" t="s">
        <v>139</v>
      </c>
      <c r="C713" s="75" t="s">
        <v>66</v>
      </c>
      <c r="D713" s="119">
        <f>'ведомств. стр. 2025-2027'!G616</f>
        <v>2954</v>
      </c>
      <c r="E713" s="119">
        <f>'ведомств. стр. 2025-2027'!H616</f>
        <v>3072.1</v>
      </c>
      <c r="F713" s="119">
        <f>'ведомств. стр. 2025-2027'!I616</f>
        <v>3195.1</v>
      </c>
      <c r="L713" s="212"/>
      <c r="M713" s="212"/>
      <c r="N713" s="212"/>
    </row>
    <row r="714" spans="1:14" s="82" customFormat="1" ht="29.25" customHeight="1" x14ac:dyDescent="0.25">
      <c r="A714" s="76" t="s">
        <v>220</v>
      </c>
      <c r="B714" s="74" t="s">
        <v>140</v>
      </c>
      <c r="C714" s="74"/>
      <c r="D714" s="120">
        <f t="shared" ref="D714:F715" si="241">D715</f>
        <v>157968.99999999997</v>
      </c>
      <c r="E714" s="120">
        <f t="shared" si="241"/>
        <v>163879.19999999998</v>
      </c>
      <c r="F714" s="120">
        <f t="shared" si="241"/>
        <v>170348.69999999998</v>
      </c>
      <c r="L714" s="212"/>
      <c r="M714" s="212"/>
      <c r="N714" s="212"/>
    </row>
    <row r="715" spans="1:14" s="82" customFormat="1" x14ac:dyDescent="0.25">
      <c r="A715" s="24" t="s">
        <v>217</v>
      </c>
      <c r="B715" s="75" t="s">
        <v>141</v>
      </c>
      <c r="C715" s="75"/>
      <c r="D715" s="119">
        <f t="shared" si="241"/>
        <v>157968.99999999997</v>
      </c>
      <c r="E715" s="119">
        <f t="shared" si="241"/>
        <v>163879.19999999998</v>
      </c>
      <c r="F715" s="119">
        <f t="shared" si="241"/>
        <v>170348.69999999998</v>
      </c>
      <c r="L715" s="212"/>
      <c r="M715" s="212"/>
      <c r="N715" s="212"/>
    </row>
    <row r="716" spans="1:14" s="82" customFormat="1" x14ac:dyDescent="0.25">
      <c r="A716" s="24" t="s">
        <v>138</v>
      </c>
      <c r="B716" s="75" t="s">
        <v>142</v>
      </c>
      <c r="C716" s="75"/>
      <c r="D716" s="119">
        <f>D717+D718+D720+D719</f>
        <v>157968.99999999997</v>
      </c>
      <c r="E716" s="119">
        <f t="shared" ref="E716:F716" si="242">E717+E718+E720+E719</f>
        <v>163879.19999999998</v>
      </c>
      <c r="F716" s="119">
        <f t="shared" si="242"/>
        <v>170348.69999999998</v>
      </c>
      <c r="L716" s="212"/>
      <c r="M716" s="212"/>
      <c r="N716" s="212"/>
    </row>
    <row r="717" spans="1:14" s="82" customFormat="1" ht="38.25" x14ac:dyDescent="0.25">
      <c r="A717" s="24" t="s">
        <v>225</v>
      </c>
      <c r="B717" s="75" t="s">
        <v>142</v>
      </c>
      <c r="C717" s="75" t="s">
        <v>66</v>
      </c>
      <c r="D717" s="119">
        <f>'ведомств. стр. 2025-2027'!G641</f>
        <v>155479.19999999998</v>
      </c>
      <c r="E717" s="119">
        <f>'ведомств. стр. 2025-2027'!H641</f>
        <v>162086.79999999999</v>
      </c>
      <c r="F717" s="119">
        <f>'ведомств. стр. 2025-2027'!I641</f>
        <v>168556.3</v>
      </c>
      <c r="L717" s="212"/>
      <c r="M717" s="212"/>
      <c r="N717" s="212"/>
    </row>
    <row r="718" spans="1:14" s="82" customFormat="1" ht="25.5" x14ac:dyDescent="0.25">
      <c r="A718" s="24" t="s">
        <v>226</v>
      </c>
      <c r="B718" s="75" t="s">
        <v>142</v>
      </c>
      <c r="C718" s="75" t="s">
        <v>59</v>
      </c>
      <c r="D718" s="119">
        <f>'ведомств. стр. 2025-2027'!G642</f>
        <v>2057.4</v>
      </c>
      <c r="E718" s="119">
        <f>'ведомств. стр. 2025-2027'!H642</f>
        <v>1749.4</v>
      </c>
      <c r="F718" s="119">
        <f>'ведомств. стр. 2025-2027'!I642</f>
        <v>1749.4</v>
      </c>
      <c r="L718" s="212"/>
      <c r="M718" s="212"/>
      <c r="N718" s="212"/>
    </row>
    <row r="719" spans="1:14" s="82" customFormat="1" x14ac:dyDescent="0.25">
      <c r="A719" s="28" t="s">
        <v>85</v>
      </c>
      <c r="B719" s="75" t="s">
        <v>142</v>
      </c>
      <c r="C719" s="75" t="s">
        <v>86</v>
      </c>
      <c r="D719" s="119">
        <f>'ведомств. стр. 2025-2027'!G643</f>
        <v>361.4</v>
      </c>
      <c r="E719" s="119">
        <f>'ведомств. стр. 2025-2027'!H643</f>
        <v>0</v>
      </c>
      <c r="F719" s="119">
        <f>'ведомств. стр. 2025-2027'!I643</f>
        <v>0</v>
      </c>
      <c r="L719" s="212"/>
      <c r="M719" s="212"/>
      <c r="N719" s="212"/>
    </row>
    <row r="720" spans="1:14" s="82" customFormat="1" x14ac:dyDescent="0.25">
      <c r="A720" s="24" t="s">
        <v>95</v>
      </c>
      <c r="B720" s="75" t="s">
        <v>142</v>
      </c>
      <c r="C720" s="75" t="s">
        <v>62</v>
      </c>
      <c r="D720" s="119">
        <f>'ведомств. стр. 2025-2027'!G644</f>
        <v>71</v>
      </c>
      <c r="E720" s="119">
        <f>'ведомств. стр. 2025-2027'!H644</f>
        <v>43</v>
      </c>
      <c r="F720" s="119">
        <f>'ведомств. стр. 2025-2027'!I644</f>
        <v>43</v>
      </c>
      <c r="L720" s="212"/>
      <c r="M720" s="212"/>
      <c r="N720" s="212"/>
    </row>
    <row r="721" spans="1:14" s="82" customFormat="1" ht="30.75" customHeight="1" x14ac:dyDescent="0.25">
      <c r="A721" s="147" t="s">
        <v>218</v>
      </c>
      <c r="B721" s="74" t="s">
        <v>159</v>
      </c>
      <c r="C721" s="74"/>
      <c r="D721" s="120">
        <f>D722+D725</f>
        <v>15645.7</v>
      </c>
      <c r="E721" s="120">
        <f t="shared" ref="E721:F721" si="243">E722+E725</f>
        <v>15346.5</v>
      </c>
      <c r="F721" s="120">
        <f t="shared" si="243"/>
        <v>15791.899999999998</v>
      </c>
      <c r="L721" s="212"/>
      <c r="M721" s="212"/>
      <c r="N721" s="212"/>
    </row>
    <row r="722" spans="1:14" s="82" customFormat="1" ht="25.5" x14ac:dyDescent="0.25">
      <c r="A722" s="166" t="s">
        <v>338</v>
      </c>
      <c r="B722" s="75" t="s">
        <v>160</v>
      </c>
      <c r="C722" s="75"/>
      <c r="D722" s="119">
        <f>D723</f>
        <v>4393.6000000000004</v>
      </c>
      <c r="E722" s="119">
        <f t="shared" ref="E722:F722" si="244">E723</f>
        <v>4569.3999999999996</v>
      </c>
      <c r="F722" s="119">
        <f t="shared" si="244"/>
        <v>4752.2</v>
      </c>
      <c r="L722" s="212"/>
      <c r="M722" s="212"/>
      <c r="N722" s="212"/>
    </row>
    <row r="723" spans="1:14" s="82" customFormat="1" x14ac:dyDescent="0.25">
      <c r="A723" s="23" t="s">
        <v>138</v>
      </c>
      <c r="B723" s="75" t="s">
        <v>161</v>
      </c>
      <c r="C723" s="75"/>
      <c r="D723" s="119">
        <f>D724</f>
        <v>4393.6000000000004</v>
      </c>
      <c r="E723" s="119">
        <f>E724</f>
        <v>4569.3999999999996</v>
      </c>
      <c r="F723" s="119">
        <f>F724</f>
        <v>4752.2</v>
      </c>
      <c r="L723" s="212"/>
      <c r="M723" s="212"/>
      <c r="N723" s="212"/>
    </row>
    <row r="724" spans="1:14" s="82" customFormat="1" ht="38.25" x14ac:dyDescent="0.25">
      <c r="A724" s="24" t="s">
        <v>225</v>
      </c>
      <c r="B724" s="75" t="s">
        <v>161</v>
      </c>
      <c r="C724" s="75" t="s">
        <v>66</v>
      </c>
      <c r="D724" s="119">
        <f>'ведомств. стр. 2025-2027'!G1027</f>
        <v>4393.6000000000004</v>
      </c>
      <c r="E724" s="119">
        <f>'ведомств. стр. 2025-2027'!H1027</f>
        <v>4569.3999999999996</v>
      </c>
      <c r="F724" s="119">
        <f>'ведомств. стр. 2025-2027'!I1027</f>
        <v>4752.2</v>
      </c>
      <c r="L724" s="212"/>
      <c r="M724" s="212"/>
      <c r="N724" s="212"/>
    </row>
    <row r="725" spans="1:14" s="82" customFormat="1" x14ac:dyDescent="0.25">
      <c r="A725" s="24" t="s">
        <v>219</v>
      </c>
      <c r="B725" s="75" t="s">
        <v>162</v>
      </c>
      <c r="C725" s="75"/>
      <c r="D725" s="119">
        <f>D726</f>
        <v>11252.1</v>
      </c>
      <c r="E725" s="119">
        <f>E726</f>
        <v>10777.1</v>
      </c>
      <c r="F725" s="119">
        <f>F726</f>
        <v>11039.699999999999</v>
      </c>
      <c r="L725" s="212"/>
      <c r="M725" s="212"/>
      <c r="N725" s="212"/>
    </row>
    <row r="726" spans="1:14" s="82" customFormat="1" x14ac:dyDescent="0.25">
      <c r="A726" s="24" t="s">
        <v>138</v>
      </c>
      <c r="B726" s="75" t="s">
        <v>163</v>
      </c>
      <c r="C726" s="75"/>
      <c r="D726" s="119">
        <f>D727+D728+D729</f>
        <v>11252.1</v>
      </c>
      <c r="E726" s="119">
        <f>E727+E728+E729</f>
        <v>10777.1</v>
      </c>
      <c r="F726" s="119">
        <f>F727+F728+F729</f>
        <v>11039.699999999999</v>
      </c>
      <c r="L726" s="212"/>
      <c r="M726" s="212"/>
      <c r="N726" s="212"/>
    </row>
    <row r="727" spans="1:14" s="82" customFormat="1" ht="38.25" x14ac:dyDescent="0.25">
      <c r="A727" s="24" t="s">
        <v>225</v>
      </c>
      <c r="B727" s="75" t="s">
        <v>163</v>
      </c>
      <c r="C727" s="75" t="s">
        <v>66</v>
      </c>
      <c r="D727" s="119">
        <f>'ведомств. стр. 2025-2027'!G1030</f>
        <v>9234.7000000000007</v>
      </c>
      <c r="E727" s="119">
        <f>'ведомств. стр. 2025-2027'!H1030</f>
        <v>9600.4</v>
      </c>
      <c r="F727" s="119">
        <f>'ведомств. стр. 2025-2027'!I1030</f>
        <v>9980.9</v>
      </c>
      <c r="L727" s="212"/>
      <c r="M727" s="212"/>
      <c r="N727" s="212"/>
    </row>
    <row r="728" spans="1:14" s="82" customFormat="1" ht="25.5" x14ac:dyDescent="0.25">
      <c r="A728" s="24" t="s">
        <v>226</v>
      </c>
      <c r="B728" s="75" t="s">
        <v>163</v>
      </c>
      <c r="C728" s="75" t="s">
        <v>59</v>
      </c>
      <c r="D728" s="119">
        <f>'ведомств. стр. 2025-2027'!G1031</f>
        <v>1983.1</v>
      </c>
      <c r="E728" s="119">
        <f>'ведомств. стр. 2025-2027'!H1031</f>
        <v>1169.7</v>
      </c>
      <c r="F728" s="119">
        <f>'ведомств. стр. 2025-2027'!I1031</f>
        <v>1051.8</v>
      </c>
      <c r="L728" s="212"/>
      <c r="M728" s="212"/>
      <c r="N728" s="212"/>
    </row>
    <row r="729" spans="1:14" s="82" customFormat="1" x14ac:dyDescent="0.25">
      <c r="A729" s="24" t="s">
        <v>95</v>
      </c>
      <c r="B729" s="75" t="s">
        <v>163</v>
      </c>
      <c r="C729" s="75" t="s">
        <v>62</v>
      </c>
      <c r="D729" s="119">
        <f>'ведомств. стр. 2025-2027'!G1032</f>
        <v>34.299999999999997</v>
      </c>
      <c r="E729" s="119">
        <f>'ведомств. стр. 2025-2027'!H1032</f>
        <v>7</v>
      </c>
      <c r="F729" s="119">
        <f>'ведомств. стр. 2025-2027'!I1032</f>
        <v>7</v>
      </c>
      <c r="L729" s="212"/>
      <c r="M729" s="212"/>
      <c r="N729" s="212"/>
    </row>
    <row r="730" spans="1:14" s="82" customFormat="1" x14ac:dyDescent="0.25">
      <c r="A730" s="76" t="s">
        <v>263</v>
      </c>
      <c r="B730" s="74" t="s">
        <v>264</v>
      </c>
      <c r="C730" s="74"/>
      <c r="D730" s="120">
        <f t="shared" ref="D730:F732" si="245">D731</f>
        <v>2125</v>
      </c>
      <c r="E730" s="120">
        <f t="shared" si="245"/>
        <v>2207</v>
      </c>
      <c r="F730" s="120">
        <f t="shared" si="245"/>
        <v>2294</v>
      </c>
      <c r="L730" s="212"/>
      <c r="M730" s="212"/>
      <c r="N730" s="212"/>
    </row>
    <row r="731" spans="1:14" s="82" customFormat="1" x14ac:dyDescent="0.25">
      <c r="A731" s="24" t="s">
        <v>265</v>
      </c>
      <c r="B731" s="75" t="s">
        <v>266</v>
      </c>
      <c r="C731" s="75"/>
      <c r="D731" s="119">
        <f>D732</f>
        <v>2125</v>
      </c>
      <c r="E731" s="119">
        <f t="shared" si="245"/>
        <v>2207</v>
      </c>
      <c r="F731" s="119">
        <f t="shared" si="245"/>
        <v>2294</v>
      </c>
      <c r="L731" s="212"/>
      <c r="M731" s="212"/>
      <c r="N731" s="212"/>
    </row>
    <row r="732" spans="1:14" s="82" customFormat="1" x14ac:dyDescent="0.25">
      <c r="A732" s="24" t="s">
        <v>267</v>
      </c>
      <c r="B732" s="75" t="s">
        <v>268</v>
      </c>
      <c r="C732" s="75"/>
      <c r="D732" s="119">
        <f t="shared" si="245"/>
        <v>2125</v>
      </c>
      <c r="E732" s="119">
        <f t="shared" si="245"/>
        <v>2207</v>
      </c>
      <c r="F732" s="119">
        <f t="shared" si="245"/>
        <v>2294</v>
      </c>
      <c r="L732" s="212"/>
      <c r="M732" s="212"/>
      <c r="N732" s="212"/>
    </row>
    <row r="733" spans="1:14" s="82" customFormat="1" x14ac:dyDescent="0.25">
      <c r="A733" s="24" t="s">
        <v>95</v>
      </c>
      <c r="B733" s="75" t="s">
        <v>268</v>
      </c>
      <c r="C733" s="75" t="s">
        <v>62</v>
      </c>
      <c r="D733" s="119">
        <f>'ведомств. стр. 2025-2027'!G652</f>
        <v>2125</v>
      </c>
      <c r="E733" s="119">
        <f>'ведомств. стр. 2025-2027'!H652</f>
        <v>2207</v>
      </c>
      <c r="F733" s="119">
        <f>'ведомств. стр. 2025-2027'!I652</f>
        <v>2294</v>
      </c>
      <c r="L733" s="212"/>
      <c r="M733" s="212"/>
      <c r="N733" s="212"/>
    </row>
    <row r="734" spans="1:14" ht="31.5" customHeight="1" x14ac:dyDescent="0.25">
      <c r="A734" s="76" t="s">
        <v>82</v>
      </c>
      <c r="B734" s="74" t="s">
        <v>105</v>
      </c>
      <c r="C734" s="74"/>
      <c r="D734" s="120">
        <f>D735+D737+D739+D742+D744+D746</f>
        <v>32970.100000000006</v>
      </c>
      <c r="E734" s="120">
        <f t="shared" ref="E734:F734" si="246">E735+E737+E739+E742+E744+E746</f>
        <v>33737.899999999994</v>
      </c>
      <c r="F734" s="120">
        <f t="shared" si="246"/>
        <v>35069.699999999997</v>
      </c>
      <c r="I734" s="200"/>
      <c r="J734" s="200"/>
      <c r="K734" s="200"/>
    </row>
    <row r="735" spans="1:14" ht="30.75" customHeight="1" x14ac:dyDescent="0.25">
      <c r="A735" s="24" t="s">
        <v>244</v>
      </c>
      <c r="B735" s="75" t="s">
        <v>245</v>
      </c>
      <c r="C735" s="75"/>
      <c r="D735" s="119">
        <f>D736</f>
        <v>500.7</v>
      </c>
      <c r="E735" s="119">
        <f>E736</f>
        <v>500.7</v>
      </c>
      <c r="F735" s="119">
        <f>F736</f>
        <v>500.7</v>
      </c>
    </row>
    <row r="736" spans="1:14" ht="28.5" customHeight="1" x14ac:dyDescent="0.25">
      <c r="A736" s="24" t="s">
        <v>64</v>
      </c>
      <c r="B736" s="75" t="s">
        <v>245</v>
      </c>
      <c r="C736" s="75" t="s">
        <v>65</v>
      </c>
      <c r="D736" s="119">
        <f>'ведомств. стр. 2025-2027'!G116+'ведомств. стр. 2025-2027'!G203</f>
        <v>500.7</v>
      </c>
      <c r="E736" s="119">
        <f>'ведомств. стр. 2025-2027'!H116+'ведомств. стр. 2025-2027'!H203</f>
        <v>500.7</v>
      </c>
      <c r="F736" s="119">
        <f>'ведомств. стр. 2025-2027'!I116+'ведомств. стр. 2025-2027'!I203</f>
        <v>500.7</v>
      </c>
    </row>
    <row r="737" spans="1:6" x14ac:dyDescent="0.25">
      <c r="A737" s="24" t="s">
        <v>132</v>
      </c>
      <c r="B737" s="75" t="s">
        <v>269</v>
      </c>
      <c r="C737" s="75"/>
      <c r="D737" s="119">
        <f>D738</f>
        <v>345</v>
      </c>
      <c r="E737" s="119">
        <f>E738</f>
        <v>345</v>
      </c>
      <c r="F737" s="119">
        <f>F738</f>
        <v>345</v>
      </c>
    </row>
    <row r="738" spans="1:6" x14ac:dyDescent="0.25">
      <c r="A738" s="28" t="s">
        <v>85</v>
      </c>
      <c r="B738" s="75" t="s">
        <v>269</v>
      </c>
      <c r="C738" s="75" t="s">
        <v>86</v>
      </c>
      <c r="D738" s="119">
        <f>'ведомств. стр. 2025-2027'!G688</f>
        <v>345</v>
      </c>
      <c r="E738" s="119">
        <f>'ведомств. стр. 2025-2027'!H688</f>
        <v>345</v>
      </c>
      <c r="F738" s="119">
        <f>'ведомств. стр. 2025-2027'!I688</f>
        <v>345</v>
      </c>
    </row>
    <row r="739" spans="1:6" x14ac:dyDescent="0.25">
      <c r="A739" s="23" t="s">
        <v>149</v>
      </c>
      <c r="B739" s="75" t="s">
        <v>286</v>
      </c>
      <c r="C739" s="75"/>
      <c r="D739" s="119">
        <f>D740+D741</f>
        <v>30018</v>
      </c>
      <c r="E739" s="119">
        <f>E740+E741</f>
        <v>31161.7</v>
      </c>
      <c r="F739" s="119">
        <f>F740+F741</f>
        <v>32404.2</v>
      </c>
    </row>
    <row r="740" spans="1:6" ht="25.5" x14ac:dyDescent="0.25">
      <c r="A740" s="24" t="s">
        <v>226</v>
      </c>
      <c r="B740" s="75" t="s">
        <v>286</v>
      </c>
      <c r="C740" s="75" t="s">
        <v>59</v>
      </c>
      <c r="D740" s="119">
        <f>'ведомств. стр. 2025-2027'!G785</f>
        <v>150</v>
      </c>
      <c r="E740" s="119">
        <f>'ведомств. стр. 2025-2027'!H785</f>
        <v>100</v>
      </c>
      <c r="F740" s="119">
        <f>'ведомств. стр. 2025-2027'!I785</f>
        <v>100</v>
      </c>
    </row>
    <row r="741" spans="1:6" x14ac:dyDescent="0.25">
      <c r="A741" s="28" t="s">
        <v>85</v>
      </c>
      <c r="B741" s="75" t="s">
        <v>286</v>
      </c>
      <c r="C741" s="75" t="s">
        <v>86</v>
      </c>
      <c r="D741" s="119">
        <f>'ведомств. стр. 2025-2027'!G786</f>
        <v>29868</v>
      </c>
      <c r="E741" s="119">
        <f>'ведомств. стр. 2025-2027'!H786</f>
        <v>31061.7</v>
      </c>
      <c r="F741" s="119">
        <f>'ведомств. стр. 2025-2027'!I786</f>
        <v>32304.2</v>
      </c>
    </row>
    <row r="742" spans="1:6" x14ac:dyDescent="0.25">
      <c r="A742" s="24" t="s">
        <v>150</v>
      </c>
      <c r="B742" s="75" t="s">
        <v>287</v>
      </c>
      <c r="C742" s="75"/>
      <c r="D742" s="119">
        <f>D743</f>
        <v>901.9</v>
      </c>
      <c r="E742" s="119">
        <f>E743</f>
        <v>632.29999999999995</v>
      </c>
      <c r="F742" s="119">
        <f>F743</f>
        <v>657.7</v>
      </c>
    </row>
    <row r="743" spans="1:6" x14ac:dyDescent="0.25">
      <c r="A743" s="28" t="s">
        <v>85</v>
      </c>
      <c r="B743" s="75" t="s">
        <v>287</v>
      </c>
      <c r="C743" s="75" t="s">
        <v>86</v>
      </c>
      <c r="D743" s="119">
        <f>'ведомств. стр. 2025-2027'!G816</f>
        <v>901.9</v>
      </c>
      <c r="E743" s="119">
        <f>'ведомств. стр. 2025-2027'!H816</f>
        <v>632.29999999999995</v>
      </c>
      <c r="F743" s="119">
        <f>'ведомств. стр. 2025-2027'!I816</f>
        <v>657.7</v>
      </c>
    </row>
    <row r="744" spans="1:6" ht="25.5" x14ac:dyDescent="0.25">
      <c r="A744" s="167" t="s">
        <v>333</v>
      </c>
      <c r="B744" s="75" t="s">
        <v>288</v>
      </c>
      <c r="C744" s="75"/>
      <c r="D744" s="119">
        <f>D745</f>
        <v>457.5</v>
      </c>
      <c r="E744" s="119">
        <f>E745</f>
        <v>521.5</v>
      </c>
      <c r="F744" s="119">
        <f>F745</f>
        <v>585.4</v>
      </c>
    </row>
    <row r="745" spans="1:6" x14ac:dyDescent="0.25">
      <c r="A745" s="28" t="s">
        <v>85</v>
      </c>
      <c r="B745" s="75" t="s">
        <v>288</v>
      </c>
      <c r="C745" s="75" t="s">
        <v>86</v>
      </c>
      <c r="D745" s="119">
        <f>'ведомств. стр. 2025-2027'!G818</f>
        <v>457.5</v>
      </c>
      <c r="E745" s="119">
        <f>'ведомств. стр. 2025-2027'!H818</f>
        <v>521.5</v>
      </c>
      <c r="F745" s="119">
        <f>'ведомств. стр. 2025-2027'!I818</f>
        <v>585.4</v>
      </c>
    </row>
    <row r="746" spans="1:6" ht="25.5" x14ac:dyDescent="0.25">
      <c r="A746" s="24" t="s">
        <v>719</v>
      </c>
      <c r="B746" s="75" t="s">
        <v>708</v>
      </c>
      <c r="C746" s="75"/>
      <c r="D746" s="119">
        <f>D747</f>
        <v>747</v>
      </c>
      <c r="E746" s="119">
        <f>E747</f>
        <v>576.70000000000005</v>
      </c>
      <c r="F746" s="119">
        <f>F747</f>
        <v>576.70000000000005</v>
      </c>
    </row>
    <row r="747" spans="1:6" ht="18" customHeight="1" x14ac:dyDescent="0.25">
      <c r="A747" s="24" t="s">
        <v>226</v>
      </c>
      <c r="B747" s="75" t="s">
        <v>708</v>
      </c>
      <c r="C747" s="75" t="s">
        <v>59</v>
      </c>
      <c r="D747" s="119">
        <f>'ведомств. стр. 2025-2027'!G999</f>
        <v>747</v>
      </c>
      <c r="E747" s="119">
        <f>'ведомств. стр. 2025-2027'!H999</f>
        <v>576.70000000000005</v>
      </c>
      <c r="F747" s="119">
        <f>'ведомств. стр. 2025-2027'!I999</f>
        <v>576.70000000000005</v>
      </c>
    </row>
    <row r="748" spans="1:6" x14ac:dyDescent="0.25">
      <c r="A748" s="76" t="s">
        <v>196</v>
      </c>
      <c r="B748" s="74" t="s">
        <v>197</v>
      </c>
      <c r="C748" s="74"/>
      <c r="D748" s="120">
        <f t="shared" ref="D748:F749" si="247">D749</f>
        <v>10645.4</v>
      </c>
      <c r="E748" s="120">
        <f t="shared" si="247"/>
        <v>25000</v>
      </c>
      <c r="F748" s="120">
        <f t="shared" si="247"/>
        <v>25000</v>
      </c>
    </row>
    <row r="749" spans="1:6" x14ac:dyDescent="0.25">
      <c r="A749" s="24" t="s">
        <v>198</v>
      </c>
      <c r="B749" s="75" t="s">
        <v>199</v>
      </c>
      <c r="C749" s="75"/>
      <c r="D749" s="119">
        <f>D750</f>
        <v>10645.4</v>
      </c>
      <c r="E749" s="119">
        <f t="shared" si="247"/>
        <v>25000</v>
      </c>
      <c r="F749" s="119">
        <f t="shared" si="247"/>
        <v>25000</v>
      </c>
    </row>
    <row r="750" spans="1:6" x14ac:dyDescent="0.25">
      <c r="A750" s="24" t="s">
        <v>200</v>
      </c>
      <c r="B750" s="75" t="s">
        <v>236</v>
      </c>
      <c r="C750" s="75"/>
      <c r="D750" s="119">
        <f>D752+D751</f>
        <v>10645.4</v>
      </c>
      <c r="E750" s="119">
        <f>E752</f>
        <v>25000</v>
      </c>
      <c r="F750" s="119">
        <f>F752</f>
        <v>25000</v>
      </c>
    </row>
    <row r="751" spans="1:6" x14ac:dyDescent="0.25">
      <c r="A751" s="28" t="s">
        <v>85</v>
      </c>
      <c r="B751" s="75" t="s">
        <v>236</v>
      </c>
      <c r="C751" s="75" t="s">
        <v>86</v>
      </c>
      <c r="D751" s="119">
        <f>'ведомств. стр. 2025-2027'!G822</f>
        <v>342.6</v>
      </c>
      <c r="E751" s="119">
        <f>'ведомств. стр. 2025-2027'!H822</f>
        <v>0</v>
      </c>
      <c r="F751" s="119">
        <f>'ведомств. стр. 2025-2027'!I822</f>
        <v>0</v>
      </c>
    </row>
    <row r="752" spans="1:6" x14ac:dyDescent="0.25">
      <c r="A752" s="24" t="s">
        <v>61</v>
      </c>
      <c r="B752" s="75" t="s">
        <v>236</v>
      </c>
      <c r="C752" s="75" t="s">
        <v>62</v>
      </c>
      <c r="D752" s="119">
        <f>'ведомств. стр. 2025-2027'!G41</f>
        <v>10302.799999999999</v>
      </c>
      <c r="E752" s="119">
        <f>'ведомств. стр. 2025-2027'!H41</f>
        <v>25000</v>
      </c>
      <c r="F752" s="119">
        <f>'ведомств. стр. 2025-2027'!I41</f>
        <v>25000</v>
      </c>
    </row>
    <row r="753" spans="1:19" ht="25.5" customHeight="1" x14ac:dyDescent="0.25">
      <c r="A753" s="81" t="s">
        <v>164</v>
      </c>
      <c r="B753" s="80" t="s">
        <v>101</v>
      </c>
      <c r="C753" s="80"/>
      <c r="D753" s="117">
        <f>D754+D757+D759+D761+D766+D764</f>
        <v>22498.399999999998</v>
      </c>
      <c r="E753" s="117">
        <f t="shared" ref="E753:F753" si="248">E754+E757+E759+E761+E766+E764</f>
        <v>25652.1</v>
      </c>
      <c r="F753" s="117">
        <f t="shared" si="248"/>
        <v>25805.200000000001</v>
      </c>
      <c r="I753" s="200"/>
      <c r="J753" s="200"/>
      <c r="K753" s="200"/>
    </row>
    <row r="754" spans="1:19" ht="51" x14ac:dyDescent="0.25">
      <c r="A754" s="24" t="s">
        <v>259</v>
      </c>
      <c r="B754" s="75" t="s">
        <v>169</v>
      </c>
      <c r="C754" s="75"/>
      <c r="D754" s="119">
        <f>D755+D756</f>
        <v>1907</v>
      </c>
      <c r="E754" s="119">
        <f>E755+E756</f>
        <v>1907</v>
      </c>
      <c r="F754" s="119">
        <f>F755+F756</f>
        <v>1907</v>
      </c>
    </row>
    <row r="755" spans="1:19" ht="25.5" x14ac:dyDescent="0.25">
      <c r="A755" s="24" t="s">
        <v>226</v>
      </c>
      <c r="B755" s="75" t="s">
        <v>169</v>
      </c>
      <c r="C755" s="75" t="s">
        <v>59</v>
      </c>
      <c r="D755" s="119">
        <f>'ведомств. стр. 2025-2027'!G316</f>
        <v>9.5</v>
      </c>
      <c r="E755" s="119">
        <f>'ведомств. стр. 2025-2027'!H316</f>
        <v>9.5</v>
      </c>
      <c r="F755" s="119">
        <f>'ведомств. стр. 2025-2027'!I316</f>
        <v>9.5</v>
      </c>
    </row>
    <row r="756" spans="1:19" x14ac:dyDescent="0.25">
      <c r="A756" s="24" t="s">
        <v>85</v>
      </c>
      <c r="B756" s="75" t="s">
        <v>169</v>
      </c>
      <c r="C756" s="75" t="s">
        <v>86</v>
      </c>
      <c r="D756" s="119">
        <f>'ведомств. стр. 2025-2027'!G317</f>
        <v>1897.5</v>
      </c>
      <c r="E756" s="119">
        <f>'ведомств. стр. 2025-2027'!H317</f>
        <v>1897.5</v>
      </c>
      <c r="F756" s="119">
        <f>'ведомств. стр. 2025-2027'!I317</f>
        <v>1897.5</v>
      </c>
    </row>
    <row r="757" spans="1:19" ht="76.5" x14ac:dyDescent="0.25">
      <c r="A757" s="24" t="s">
        <v>337</v>
      </c>
      <c r="B757" s="75" t="s">
        <v>260</v>
      </c>
      <c r="C757" s="75"/>
      <c r="D757" s="119">
        <f>D758</f>
        <v>5716.6</v>
      </c>
      <c r="E757" s="119">
        <f>E758</f>
        <v>3854.7</v>
      </c>
      <c r="F757" s="119">
        <f>F758</f>
        <v>3854.7</v>
      </c>
    </row>
    <row r="758" spans="1:19" ht="38.25" x14ac:dyDescent="0.25">
      <c r="A758" s="24" t="s">
        <v>225</v>
      </c>
      <c r="B758" s="75" t="s">
        <v>260</v>
      </c>
      <c r="C758" s="75" t="s">
        <v>66</v>
      </c>
      <c r="D758" s="119">
        <f>'ведомств. стр. 2025-2027'!G305</f>
        <v>5716.6</v>
      </c>
      <c r="E758" s="119">
        <f>'ведомств. стр. 2025-2027'!H305</f>
        <v>3854.7</v>
      </c>
      <c r="F758" s="119">
        <f>'ведомств. стр. 2025-2027'!I305</f>
        <v>3854.7</v>
      </c>
    </row>
    <row r="759" spans="1:19" ht="25.5" x14ac:dyDescent="0.25">
      <c r="A759" s="23" t="s">
        <v>100</v>
      </c>
      <c r="B759" s="75" t="s">
        <v>859</v>
      </c>
      <c r="C759" s="75"/>
      <c r="D759" s="119">
        <f>D760</f>
        <v>45</v>
      </c>
      <c r="E759" s="119">
        <f>E760</f>
        <v>45</v>
      </c>
      <c r="F759" s="119">
        <f>F760</f>
        <v>45</v>
      </c>
    </row>
    <row r="760" spans="1:19" ht="25.5" x14ac:dyDescent="0.25">
      <c r="A760" s="24" t="s">
        <v>226</v>
      </c>
      <c r="B760" s="75" t="s">
        <v>859</v>
      </c>
      <c r="C760" s="75" t="s">
        <v>59</v>
      </c>
      <c r="D760" s="119">
        <f>'ведомств. стр. 2025-2027'!G691</f>
        <v>45</v>
      </c>
      <c r="E760" s="119">
        <f>'ведомств. стр. 2025-2027'!H691</f>
        <v>45</v>
      </c>
      <c r="F760" s="119">
        <f>'ведомств. стр. 2025-2027'!I691</f>
        <v>45</v>
      </c>
    </row>
    <row r="761" spans="1:19" ht="38.25" x14ac:dyDescent="0.25">
      <c r="A761" s="24" t="s">
        <v>148</v>
      </c>
      <c r="B761" s="75" t="s">
        <v>860</v>
      </c>
      <c r="C761" s="75"/>
      <c r="D761" s="119">
        <f>D762+D763</f>
        <v>3712</v>
      </c>
      <c r="E761" s="119">
        <f>E762+E763</f>
        <v>3859.3</v>
      </c>
      <c r="F761" s="119">
        <f>F762+F763</f>
        <v>4012.4</v>
      </c>
    </row>
    <row r="762" spans="1:19" ht="38.25" x14ac:dyDescent="0.25">
      <c r="A762" s="24" t="s">
        <v>225</v>
      </c>
      <c r="B762" s="75" t="s">
        <v>860</v>
      </c>
      <c r="C762" s="75" t="s">
        <v>66</v>
      </c>
      <c r="D762" s="119">
        <f>'ведомств. стр. 2025-2027'!G769</f>
        <v>3678</v>
      </c>
      <c r="E762" s="119">
        <f>'ведомств. стр. 2025-2027'!H769</f>
        <v>3825.3</v>
      </c>
      <c r="F762" s="119">
        <f>'ведомств. стр. 2025-2027'!I769</f>
        <v>3978.4</v>
      </c>
    </row>
    <row r="763" spans="1:19" ht="25.5" x14ac:dyDescent="0.25">
      <c r="A763" s="24" t="s">
        <v>226</v>
      </c>
      <c r="B763" s="75" t="s">
        <v>860</v>
      </c>
      <c r="C763" s="75" t="s">
        <v>59</v>
      </c>
      <c r="D763" s="119">
        <f>'ведомств. стр. 2025-2027'!G770</f>
        <v>34</v>
      </c>
      <c r="E763" s="119">
        <f>'ведомств. стр. 2025-2027'!H770</f>
        <v>34</v>
      </c>
      <c r="F763" s="119">
        <f>'ведомств. стр. 2025-2027'!I770</f>
        <v>34</v>
      </c>
    </row>
    <row r="764" spans="1:19" ht="25.5" x14ac:dyDescent="0.25">
      <c r="A764" s="24" t="s">
        <v>372</v>
      </c>
      <c r="B764" s="75" t="s">
        <v>861</v>
      </c>
      <c r="C764" s="75"/>
      <c r="D764" s="119">
        <f>D765</f>
        <v>5018.8</v>
      </c>
      <c r="E764" s="119">
        <f t="shared" ref="E764:F764" si="249">E765</f>
        <v>9887.1</v>
      </c>
      <c r="F764" s="119">
        <f t="shared" si="249"/>
        <v>9887.1</v>
      </c>
    </row>
    <row r="765" spans="1:19" ht="25.5" x14ac:dyDescent="0.25">
      <c r="A765" s="24" t="s">
        <v>226</v>
      </c>
      <c r="B765" s="75" t="s">
        <v>861</v>
      </c>
      <c r="C765" s="75" t="s">
        <v>59</v>
      </c>
      <c r="D765" s="119">
        <f>'ведомств. стр. 2025-2027'!G857</f>
        <v>5018.8</v>
      </c>
      <c r="E765" s="119">
        <f>'ведомств. стр. 2025-2027'!H857</f>
        <v>9887.1</v>
      </c>
      <c r="F765" s="119">
        <f>'ведомств. стр. 2025-2027'!I857</f>
        <v>9887.1</v>
      </c>
    </row>
    <row r="766" spans="1:19" ht="38.25" x14ac:dyDescent="0.25">
      <c r="A766" s="24" t="s">
        <v>329</v>
      </c>
      <c r="B766" s="75" t="s">
        <v>232</v>
      </c>
      <c r="C766" s="75"/>
      <c r="D766" s="119">
        <f>D767</f>
        <v>6099</v>
      </c>
      <c r="E766" s="119">
        <f>E767</f>
        <v>6099</v>
      </c>
      <c r="F766" s="119">
        <f>F767</f>
        <v>6099</v>
      </c>
    </row>
    <row r="767" spans="1:19" ht="25.5" x14ac:dyDescent="0.25">
      <c r="A767" s="24" t="s">
        <v>64</v>
      </c>
      <c r="B767" s="75" t="s">
        <v>232</v>
      </c>
      <c r="C767" s="75" t="s">
        <v>65</v>
      </c>
      <c r="D767" s="119">
        <f>'ведомств. стр. 2025-2027'!G119+'ведомств. стр. 2025-2027'!G206+'ведомств. стр. 2025-2027'!G392</f>
        <v>6099</v>
      </c>
      <c r="E767" s="119">
        <f>'ведомств. стр. 2025-2027'!H119+'ведомств. стр. 2025-2027'!H206+'ведомств. стр. 2025-2027'!H392</f>
        <v>6099</v>
      </c>
      <c r="F767" s="119">
        <f>'ведомств. стр. 2025-2027'!I119+'ведомств. стр. 2025-2027'!I206+'ведомств. стр. 2025-2027'!I392</f>
        <v>6099</v>
      </c>
    </row>
    <row r="768" spans="1:19" ht="29.25" customHeight="1" x14ac:dyDescent="0.25">
      <c r="A768" s="76" t="s">
        <v>321</v>
      </c>
      <c r="B768" s="74" t="s">
        <v>322</v>
      </c>
      <c r="C768" s="74"/>
      <c r="D768" s="120">
        <f>D769+D779+D773+D776+D785+D787+D783+D781</f>
        <v>99826.400000000009</v>
      </c>
      <c r="E768" s="120">
        <f t="shared" ref="E768:F768" si="250">E769+E779+E773+E776+E785+E787+E783+E781</f>
        <v>93061.39999999998</v>
      </c>
      <c r="F768" s="120">
        <f t="shared" si="250"/>
        <v>68758.7</v>
      </c>
      <c r="I768" s="200"/>
      <c r="J768" s="200"/>
      <c r="K768" s="200"/>
      <c r="O768" s="200"/>
      <c r="P768" s="200"/>
      <c r="Q768" s="200"/>
      <c r="R768" s="200"/>
      <c r="S768" s="200"/>
    </row>
    <row r="769" spans="1:6" x14ac:dyDescent="0.25">
      <c r="A769" s="25" t="s">
        <v>240</v>
      </c>
      <c r="B769" s="75" t="s">
        <v>352</v>
      </c>
      <c r="C769" s="75"/>
      <c r="D769" s="119">
        <f>D770+D771+D772</f>
        <v>63379.199999999997</v>
      </c>
      <c r="E769" s="119">
        <f>E770+E771+E772</f>
        <v>76365.599999999991</v>
      </c>
      <c r="F769" s="119">
        <f>F770+F771+F772</f>
        <v>51571.6</v>
      </c>
    </row>
    <row r="770" spans="1:6" ht="38.25" x14ac:dyDescent="0.25">
      <c r="A770" s="24" t="s">
        <v>225</v>
      </c>
      <c r="B770" s="75" t="s">
        <v>352</v>
      </c>
      <c r="C770" s="75" t="s">
        <v>66</v>
      </c>
      <c r="D770" s="119">
        <f>'ведомств. стр. 2025-2027'!G694</f>
        <v>24980.7</v>
      </c>
      <c r="E770" s="119">
        <f>'ведомств. стр. 2025-2027'!H694</f>
        <v>25738.7</v>
      </c>
      <c r="F770" s="119">
        <f>'ведомств. стр. 2025-2027'!I694</f>
        <v>26526.5</v>
      </c>
    </row>
    <row r="771" spans="1:6" ht="25.5" x14ac:dyDescent="0.25">
      <c r="A771" s="24" t="s">
        <v>226</v>
      </c>
      <c r="B771" s="75" t="s">
        <v>352</v>
      </c>
      <c r="C771" s="75" t="s">
        <v>59</v>
      </c>
      <c r="D771" s="119">
        <f>'ведомств. стр. 2025-2027'!G695</f>
        <v>38162.799999999996</v>
      </c>
      <c r="E771" s="119">
        <f>'ведомств. стр. 2025-2027'!H695</f>
        <v>50391.199999999997</v>
      </c>
      <c r="F771" s="119">
        <f>'ведомств. стр. 2025-2027'!I695</f>
        <v>24809.4</v>
      </c>
    </row>
    <row r="772" spans="1:6" ht="18" customHeight="1" x14ac:dyDescent="0.25">
      <c r="A772" s="24" t="s">
        <v>95</v>
      </c>
      <c r="B772" s="75" t="s">
        <v>352</v>
      </c>
      <c r="C772" s="75" t="s">
        <v>62</v>
      </c>
      <c r="D772" s="119">
        <f>'ведомств. стр. 2025-2027'!G696</f>
        <v>235.7</v>
      </c>
      <c r="E772" s="119">
        <f>'ведомств. стр. 2025-2027'!H696</f>
        <v>235.7</v>
      </c>
      <c r="F772" s="119">
        <f>'ведомств. стр. 2025-2027'!I696</f>
        <v>235.7</v>
      </c>
    </row>
    <row r="773" spans="1:6" ht="25.5" x14ac:dyDescent="0.25">
      <c r="A773" s="24" t="s">
        <v>239</v>
      </c>
      <c r="B773" s="75" t="s">
        <v>723</v>
      </c>
      <c r="C773" s="75"/>
      <c r="D773" s="119">
        <f>D774+D775</f>
        <v>13784.3</v>
      </c>
      <c r="E773" s="119">
        <f t="shared" ref="E773:F773" si="251">E774+E775</f>
        <v>14114.4</v>
      </c>
      <c r="F773" s="119">
        <f t="shared" si="251"/>
        <v>14602.4</v>
      </c>
    </row>
    <row r="774" spans="1:6" ht="38.25" x14ac:dyDescent="0.25">
      <c r="A774" s="24" t="s">
        <v>225</v>
      </c>
      <c r="B774" s="75" t="s">
        <v>723</v>
      </c>
      <c r="C774" s="75" t="s">
        <v>66</v>
      </c>
      <c r="D774" s="119">
        <f>'ведомств. стр. 2025-2027'!G45</f>
        <v>11728.3</v>
      </c>
      <c r="E774" s="119">
        <f>'ведомств. стр. 2025-2027'!H45</f>
        <v>12197.4</v>
      </c>
      <c r="F774" s="119">
        <f>'ведомств. стр. 2025-2027'!I45</f>
        <v>12685.4</v>
      </c>
    </row>
    <row r="775" spans="1:6" ht="25.5" x14ac:dyDescent="0.25">
      <c r="A775" s="24" t="s">
        <v>226</v>
      </c>
      <c r="B775" s="75" t="s">
        <v>723</v>
      </c>
      <c r="C775" s="75" t="s">
        <v>59</v>
      </c>
      <c r="D775" s="119">
        <f>'ведомств. стр. 2025-2027'!G46</f>
        <v>2056</v>
      </c>
      <c r="E775" s="119">
        <f>'ведомств. стр. 2025-2027'!H46</f>
        <v>1917</v>
      </c>
      <c r="F775" s="119">
        <f>'ведомств. стр. 2025-2027'!I46</f>
        <v>1917</v>
      </c>
    </row>
    <row r="776" spans="1:6" x14ac:dyDescent="0.25">
      <c r="A776" s="24" t="s">
        <v>133</v>
      </c>
      <c r="B776" s="75" t="s">
        <v>862</v>
      </c>
      <c r="C776" s="75"/>
      <c r="D776" s="119">
        <f>D778+D777</f>
        <v>10072.5</v>
      </c>
      <c r="E776" s="119">
        <f t="shared" ref="E776:F776" si="252">E778+E777</f>
        <v>0</v>
      </c>
      <c r="F776" s="119">
        <f t="shared" si="252"/>
        <v>0</v>
      </c>
    </row>
    <row r="777" spans="1:6" ht="25.5" x14ac:dyDescent="0.25">
      <c r="A777" s="24" t="s">
        <v>226</v>
      </c>
      <c r="B777" s="75" t="s">
        <v>862</v>
      </c>
      <c r="C777" s="75" t="s">
        <v>59</v>
      </c>
      <c r="D777" s="119">
        <f>'ведомств. стр. 2025-2027'!G209</f>
        <v>978</v>
      </c>
      <c r="E777" s="119">
        <f>'ведомств. стр. 2025-2027'!H209</f>
        <v>0</v>
      </c>
      <c r="F777" s="119">
        <f>'ведомств. стр. 2025-2027'!I209</f>
        <v>0</v>
      </c>
    </row>
    <row r="778" spans="1:6" ht="25.5" x14ac:dyDescent="0.25">
      <c r="A778" s="24" t="s">
        <v>64</v>
      </c>
      <c r="B778" s="75" t="s">
        <v>862</v>
      </c>
      <c r="C778" s="75" t="s">
        <v>65</v>
      </c>
      <c r="D778" s="119">
        <f>'ведомств. стр. 2025-2027'!G210+'ведомств. стр. 2025-2027'!G308+'ведомств. стр. 2025-2027'!G122</f>
        <v>9094.5</v>
      </c>
      <c r="E778" s="119">
        <f>'ведомств. стр. 2025-2027'!H210+'ведомств. стр. 2025-2027'!H308</f>
        <v>0</v>
      </c>
      <c r="F778" s="119">
        <f>'ведомств. стр. 2025-2027'!I210+'ведомств. стр. 2025-2027'!I308</f>
        <v>0</v>
      </c>
    </row>
    <row r="779" spans="1:6" x14ac:dyDescent="0.25">
      <c r="A779" s="24" t="s">
        <v>549</v>
      </c>
      <c r="B779" s="75" t="s">
        <v>571</v>
      </c>
      <c r="C779" s="75"/>
      <c r="D779" s="119">
        <f>D780</f>
        <v>1678.3</v>
      </c>
      <c r="E779" s="119">
        <f t="shared" ref="E779:F779" si="253">E780</f>
        <v>81.400000000000006</v>
      </c>
      <c r="F779" s="119">
        <f t="shared" si="253"/>
        <v>84.7</v>
      </c>
    </row>
    <row r="780" spans="1:6" ht="25.5" x14ac:dyDescent="0.25">
      <c r="A780" s="24" t="s">
        <v>226</v>
      </c>
      <c r="B780" s="75" t="s">
        <v>571</v>
      </c>
      <c r="C780" s="75" t="s">
        <v>59</v>
      </c>
      <c r="D780" s="119">
        <f>'ведомств. стр. 2025-2027'!G861</f>
        <v>1678.3</v>
      </c>
      <c r="E780" s="119">
        <f>'ведомств. стр. 2025-2027'!H861</f>
        <v>81.400000000000006</v>
      </c>
      <c r="F780" s="119">
        <f>'ведомств. стр. 2025-2027'!I861</f>
        <v>84.7</v>
      </c>
    </row>
    <row r="781" spans="1:6" ht="25.5" x14ac:dyDescent="0.25">
      <c r="A781" s="24" t="s">
        <v>1018</v>
      </c>
      <c r="B781" s="75" t="s">
        <v>1017</v>
      </c>
      <c r="C781" s="75"/>
      <c r="D781" s="119">
        <f>D782</f>
        <v>925.3</v>
      </c>
      <c r="E781" s="119">
        <f t="shared" ref="E781:F781" si="254">E782</f>
        <v>0</v>
      </c>
      <c r="F781" s="119">
        <f t="shared" si="254"/>
        <v>0</v>
      </c>
    </row>
    <row r="782" spans="1:6" ht="25.5" x14ac:dyDescent="0.25">
      <c r="A782" s="24" t="s">
        <v>226</v>
      </c>
      <c r="B782" s="75" t="s">
        <v>1017</v>
      </c>
      <c r="C782" s="75" t="s">
        <v>59</v>
      </c>
      <c r="D782" s="119">
        <f>'ведомств. стр. 2025-2027'!G888</f>
        <v>925.3</v>
      </c>
      <c r="E782" s="119">
        <f>'ведомств. стр. 2025-2027'!H888</f>
        <v>0</v>
      </c>
      <c r="F782" s="119">
        <f>'ведомств. стр. 2025-2027'!I888</f>
        <v>0</v>
      </c>
    </row>
    <row r="783" spans="1:6" x14ac:dyDescent="0.25">
      <c r="A783" s="24" t="s">
        <v>997</v>
      </c>
      <c r="B783" s="75" t="s">
        <v>998</v>
      </c>
      <c r="C783" s="75"/>
      <c r="D783" s="119">
        <f>D784</f>
        <v>64.8</v>
      </c>
      <c r="E783" s="119">
        <f t="shared" ref="E783:F783" si="255">E784</f>
        <v>0</v>
      </c>
      <c r="F783" s="119">
        <f t="shared" si="255"/>
        <v>0</v>
      </c>
    </row>
    <row r="784" spans="1:6" ht="25.5" x14ac:dyDescent="0.25">
      <c r="A784" s="24" t="s">
        <v>64</v>
      </c>
      <c r="B784" s="75" t="s">
        <v>998</v>
      </c>
      <c r="C784" s="75" t="s">
        <v>65</v>
      </c>
      <c r="D784" s="119">
        <f>'ведомств. стр. 2025-2027'!G249</f>
        <v>64.8</v>
      </c>
      <c r="E784" s="119">
        <f>'ведомств. стр. 2025-2027'!H249</f>
        <v>0</v>
      </c>
      <c r="F784" s="119">
        <f>'ведомств. стр. 2025-2027'!I249</f>
        <v>0</v>
      </c>
    </row>
    <row r="785" spans="1:14" ht="25.5" x14ac:dyDescent="0.25">
      <c r="A785" s="24" t="s">
        <v>871</v>
      </c>
      <c r="B785" s="75" t="s">
        <v>870</v>
      </c>
      <c r="C785" s="75"/>
      <c r="D785" s="119">
        <f>D786</f>
        <v>8382</v>
      </c>
      <c r="E785" s="119">
        <f t="shared" ref="E785:F785" si="256">E786</f>
        <v>2500</v>
      </c>
      <c r="F785" s="119">
        <f t="shared" si="256"/>
        <v>2500</v>
      </c>
    </row>
    <row r="786" spans="1:14" ht="25.5" x14ac:dyDescent="0.25">
      <c r="A786" s="24" t="s">
        <v>64</v>
      </c>
      <c r="B786" s="75" t="s">
        <v>870</v>
      </c>
      <c r="C786" s="75" t="s">
        <v>65</v>
      </c>
      <c r="D786" s="119">
        <f>'ведомств. стр. 2025-2027'!G124+'ведомств. стр. 2025-2027'!G212</f>
        <v>8382</v>
      </c>
      <c r="E786" s="119">
        <f>'ведомств. стр. 2025-2027'!H124+'ведомств. стр. 2025-2027'!H212</f>
        <v>2500</v>
      </c>
      <c r="F786" s="119">
        <f>'ведомств. стр. 2025-2027'!I124+'ведомств. стр. 2025-2027'!I212</f>
        <v>2500</v>
      </c>
    </row>
    <row r="787" spans="1:14" ht="38.25" x14ac:dyDescent="0.25">
      <c r="A787" s="24" t="s">
        <v>889</v>
      </c>
      <c r="B787" s="75" t="s">
        <v>890</v>
      </c>
      <c r="C787" s="75"/>
      <c r="D787" s="119">
        <f>D788</f>
        <v>1540</v>
      </c>
      <c r="E787" s="119">
        <f t="shared" ref="E787:F787" si="257">E788</f>
        <v>0</v>
      </c>
      <c r="F787" s="119">
        <f t="shared" si="257"/>
        <v>0</v>
      </c>
    </row>
    <row r="788" spans="1:14" ht="25.5" x14ac:dyDescent="0.25">
      <c r="A788" s="24" t="s">
        <v>64</v>
      </c>
      <c r="B788" s="75" t="s">
        <v>890</v>
      </c>
      <c r="C788" s="75" t="s">
        <v>65</v>
      </c>
      <c r="D788" s="119">
        <f>'ведомств. стр. 2025-2027'!G214</f>
        <v>1540</v>
      </c>
      <c r="E788" s="119">
        <f>'ведомств. стр. 2025-2027'!H214</f>
        <v>0</v>
      </c>
      <c r="F788" s="119">
        <f>'ведомств. стр. 2025-2027'!I214</f>
        <v>0</v>
      </c>
    </row>
    <row r="789" spans="1:14" ht="18" customHeight="1" x14ac:dyDescent="0.25">
      <c r="A789" s="76" t="s">
        <v>94</v>
      </c>
      <c r="B789" s="74" t="s">
        <v>120</v>
      </c>
      <c r="C789" s="74"/>
      <c r="D789" s="120">
        <f>D790+D792+D795+D798+D800+D804+D806+D802+D810+D812+D808</f>
        <v>58977.299999999996</v>
      </c>
      <c r="E789" s="120">
        <f t="shared" ref="E789:F789" si="258">E790+E792+E795+E798+E800+E804+E806+E802+E810+E812+E808</f>
        <v>253838.7</v>
      </c>
      <c r="F789" s="120">
        <f t="shared" si="258"/>
        <v>202423.2</v>
      </c>
      <c r="G789" s="158"/>
      <c r="I789" s="200"/>
      <c r="J789" s="200"/>
      <c r="K789" s="200"/>
    </row>
    <row r="790" spans="1:14" s="4" customFormat="1" x14ac:dyDescent="0.25">
      <c r="A790" s="24" t="s">
        <v>379</v>
      </c>
      <c r="B790" s="75" t="s">
        <v>380</v>
      </c>
      <c r="C790" s="75"/>
      <c r="D790" s="119">
        <f>D791</f>
        <v>1163.9999999999998</v>
      </c>
      <c r="E790" s="119">
        <f t="shared" ref="E790:F790" si="259">E791</f>
        <v>1163.9999999999998</v>
      </c>
      <c r="F790" s="119">
        <f t="shared" si="259"/>
        <v>1163.9999999999998</v>
      </c>
      <c r="L790" s="215"/>
      <c r="M790" s="215"/>
      <c r="N790" s="215"/>
    </row>
    <row r="791" spans="1:14" s="4" customFormat="1" ht="25.5" x14ac:dyDescent="0.25">
      <c r="A791" s="24" t="s">
        <v>226</v>
      </c>
      <c r="B791" s="75" t="s">
        <v>380</v>
      </c>
      <c r="C791" s="75" t="s">
        <v>59</v>
      </c>
      <c r="D791" s="119">
        <f>'ведомств. стр. 2025-2027'!G36+'ведомств. стр. 2025-2027'!G311+'ведомств. стр. 2025-2027'!G406+'ведомств. стр. 2025-2027'!G468+'ведомств. стр. 2025-2027'!G520+'ведомств. стр. 2025-2027'!G546+'ведомств. стр. 2025-2027'!G609+'ведомств. стр. 2025-2027'!G647+'ведомств. стр. 2025-2027'!G851+'ведомств. стр. 2025-2027'!G1002+'ведомств. стр. 2025-2027'!G1020+'ведомств. стр. 2025-2027'!G1035</f>
        <v>1163.9999999999998</v>
      </c>
      <c r="E791" s="119">
        <f>'ведомств. стр. 2025-2027'!H36+'ведомств. стр. 2025-2027'!H311+'ведомств. стр. 2025-2027'!H406+'ведомств. стр. 2025-2027'!H468+'ведомств. стр. 2025-2027'!H520+'ведомств. стр. 2025-2027'!H546+'ведомств. стр. 2025-2027'!H609+'ведомств. стр. 2025-2027'!H647+'ведомств. стр. 2025-2027'!H851+'ведомств. стр. 2025-2027'!H1002+'ведомств. стр. 2025-2027'!H1020+'ведомств. стр. 2025-2027'!H1035</f>
        <v>1163.9999999999998</v>
      </c>
      <c r="F791" s="119">
        <f>'ведомств. стр. 2025-2027'!I36+'ведомств. стр. 2025-2027'!I311+'ведомств. стр. 2025-2027'!I406+'ведомств. стр. 2025-2027'!I468+'ведомств. стр. 2025-2027'!I520+'ведомств. стр. 2025-2027'!I546+'ведомств. стр. 2025-2027'!I609+'ведомств. стр. 2025-2027'!I647+'ведомств. стр. 2025-2027'!I851+'ведомств. стр. 2025-2027'!I1002+'ведомств. стр. 2025-2027'!I1020+'ведомств. стр. 2025-2027'!I1035</f>
        <v>1163.9999999999998</v>
      </c>
      <c r="L791" s="215"/>
      <c r="M791" s="215"/>
      <c r="N791" s="215"/>
    </row>
    <row r="792" spans="1:14" s="4" customFormat="1" x14ac:dyDescent="0.25">
      <c r="A792" s="28" t="s">
        <v>615</v>
      </c>
      <c r="B792" s="75" t="s">
        <v>230</v>
      </c>
      <c r="C792" s="75"/>
      <c r="D792" s="119">
        <f>D794+D793</f>
        <v>2500</v>
      </c>
      <c r="E792" s="119">
        <f t="shared" ref="E792:F792" si="260">E794+E793</f>
        <v>1500</v>
      </c>
      <c r="F792" s="119">
        <f t="shared" si="260"/>
        <v>1500</v>
      </c>
      <c r="L792" s="215"/>
      <c r="M792" s="215"/>
      <c r="N792" s="215"/>
    </row>
    <row r="793" spans="1:14" s="4" customFormat="1" ht="38.25" x14ac:dyDescent="0.25">
      <c r="A793" s="24" t="s">
        <v>225</v>
      </c>
      <c r="B793" s="75" t="s">
        <v>230</v>
      </c>
      <c r="C793" s="75" t="s">
        <v>66</v>
      </c>
      <c r="D793" s="119">
        <f>'ведомств. стр. 2025-2027'!G699</f>
        <v>501.3</v>
      </c>
      <c r="E793" s="119">
        <f>'ведомств. стр. 2025-2027'!H699</f>
        <v>0</v>
      </c>
      <c r="F793" s="119">
        <f>'ведомств. стр. 2025-2027'!I699</f>
        <v>0</v>
      </c>
      <c r="L793" s="215"/>
      <c r="M793" s="215"/>
      <c r="N793" s="215"/>
    </row>
    <row r="794" spans="1:14" s="4" customFormat="1" x14ac:dyDescent="0.25">
      <c r="A794" s="24" t="s">
        <v>95</v>
      </c>
      <c r="B794" s="75" t="s">
        <v>230</v>
      </c>
      <c r="C794" s="75" t="s">
        <v>62</v>
      </c>
      <c r="D794" s="119">
        <f>'ведомств. стр. 2025-2027'!G49</f>
        <v>1998.7</v>
      </c>
      <c r="E794" s="119">
        <f>'ведомств. стр. 2025-2027'!H49</f>
        <v>1500</v>
      </c>
      <c r="F794" s="119">
        <f>'ведомств. стр. 2025-2027'!I49</f>
        <v>1500</v>
      </c>
      <c r="L794" s="215"/>
      <c r="M794" s="215"/>
      <c r="N794" s="215"/>
    </row>
    <row r="795" spans="1:14" s="4" customFormat="1" x14ac:dyDescent="0.25">
      <c r="A795" s="23" t="s">
        <v>133</v>
      </c>
      <c r="B795" s="75" t="s">
        <v>231</v>
      </c>
      <c r="C795" s="75"/>
      <c r="D795" s="119">
        <f>D796+D797</f>
        <v>19614.099999999999</v>
      </c>
      <c r="E795" s="119">
        <f t="shared" ref="E795:F795" si="261">E796+E797</f>
        <v>7817.5</v>
      </c>
      <c r="F795" s="119">
        <f t="shared" si="261"/>
        <v>7817.5</v>
      </c>
      <c r="L795" s="215"/>
      <c r="M795" s="215"/>
      <c r="N795" s="215"/>
    </row>
    <row r="796" spans="1:14" s="4" customFormat="1" ht="25.5" x14ac:dyDescent="0.25">
      <c r="A796" s="24" t="s">
        <v>226</v>
      </c>
      <c r="B796" s="75" t="s">
        <v>231</v>
      </c>
      <c r="C796" s="75" t="s">
        <v>59</v>
      </c>
      <c r="D796" s="119">
        <f>'ведомств. стр. 2025-2027'!G548+'ведомств. стр. 2025-2027'!G701</f>
        <v>18732.3</v>
      </c>
      <c r="E796" s="119">
        <f>'ведомств. стр. 2025-2027'!H548+'ведомств. стр. 2025-2027'!H701</f>
        <v>7337.5</v>
      </c>
      <c r="F796" s="119">
        <f>'ведомств. стр. 2025-2027'!I548+'ведомств. стр. 2025-2027'!I701</f>
        <v>7337.5</v>
      </c>
      <c r="L796" s="215"/>
      <c r="M796" s="215"/>
      <c r="N796" s="215"/>
    </row>
    <row r="797" spans="1:14" s="4" customFormat="1" x14ac:dyDescent="0.25">
      <c r="A797" s="24" t="s">
        <v>95</v>
      </c>
      <c r="B797" s="75" t="s">
        <v>231</v>
      </c>
      <c r="C797" s="75" t="s">
        <v>62</v>
      </c>
      <c r="D797" s="119">
        <f>'ведомств. стр. 2025-2027'!G549+'ведомств. стр. 2025-2027'!G702</f>
        <v>881.8</v>
      </c>
      <c r="E797" s="119">
        <f>'ведомств. стр. 2025-2027'!H549+'ведомств. стр. 2025-2027'!H702</f>
        <v>480</v>
      </c>
      <c r="F797" s="119">
        <f>'ведомств. стр. 2025-2027'!I549+'ведомств. стр. 2025-2027'!I702</f>
        <v>480</v>
      </c>
      <c r="L797" s="215"/>
      <c r="M797" s="215"/>
      <c r="N797" s="215"/>
    </row>
    <row r="798" spans="1:14" s="4" customFormat="1" x14ac:dyDescent="0.25">
      <c r="A798" s="24" t="s">
        <v>377</v>
      </c>
      <c r="B798" s="75" t="s">
        <v>376</v>
      </c>
      <c r="C798" s="75"/>
      <c r="D798" s="119">
        <f>D799</f>
        <v>0</v>
      </c>
      <c r="E798" s="119">
        <f>E799</f>
        <v>1500</v>
      </c>
      <c r="F798" s="119">
        <f>F799</f>
        <v>1500</v>
      </c>
      <c r="L798" s="215"/>
      <c r="M798" s="215"/>
      <c r="N798" s="215"/>
    </row>
    <row r="799" spans="1:14" s="4" customFormat="1" x14ac:dyDescent="0.25">
      <c r="A799" s="24" t="s">
        <v>95</v>
      </c>
      <c r="B799" s="75" t="s">
        <v>376</v>
      </c>
      <c r="C799" s="75" t="s">
        <v>62</v>
      </c>
      <c r="D799" s="119">
        <f>'ведомств. стр. 2025-2027'!G51</f>
        <v>0</v>
      </c>
      <c r="E799" s="119">
        <f>'ведомств. стр. 2025-2027'!H51</f>
        <v>1500</v>
      </c>
      <c r="F799" s="119">
        <f>'ведомств. стр. 2025-2027'!I51</f>
        <v>1500</v>
      </c>
      <c r="L799" s="215"/>
      <c r="M799" s="215"/>
      <c r="N799" s="215"/>
    </row>
    <row r="800" spans="1:14" s="4" customFormat="1" x14ac:dyDescent="0.25">
      <c r="A800" s="24" t="s">
        <v>382</v>
      </c>
      <c r="B800" s="75" t="s">
        <v>381</v>
      </c>
      <c r="C800" s="75"/>
      <c r="D800" s="119">
        <f>D801</f>
        <v>8767.1000000000022</v>
      </c>
      <c r="E800" s="119">
        <f>E801</f>
        <v>8000</v>
      </c>
      <c r="F800" s="119">
        <f>F801</f>
        <v>8000</v>
      </c>
      <c r="L800" s="215"/>
      <c r="M800" s="215"/>
      <c r="N800" s="215"/>
    </row>
    <row r="801" spans="1:14" s="4" customFormat="1" x14ac:dyDescent="0.25">
      <c r="A801" s="24" t="s">
        <v>95</v>
      </c>
      <c r="B801" s="75" t="s">
        <v>381</v>
      </c>
      <c r="C801" s="75" t="s">
        <v>62</v>
      </c>
      <c r="D801" s="119">
        <f>'ведомств. стр. 2025-2027'!G53</f>
        <v>8767.1000000000022</v>
      </c>
      <c r="E801" s="119">
        <f>'ведомств. стр. 2025-2027'!H53</f>
        <v>8000</v>
      </c>
      <c r="F801" s="119">
        <f>'ведомств. стр. 2025-2027'!I53</f>
        <v>8000</v>
      </c>
      <c r="L801" s="215"/>
      <c r="M801" s="215"/>
      <c r="N801" s="215"/>
    </row>
    <row r="802" spans="1:14" s="4" customFormat="1" x14ac:dyDescent="0.25">
      <c r="A802" s="24" t="s">
        <v>383</v>
      </c>
      <c r="B802" s="75" t="s">
        <v>722</v>
      </c>
      <c r="C802" s="75"/>
      <c r="D802" s="119">
        <f>D803</f>
        <v>0</v>
      </c>
      <c r="E802" s="119">
        <f t="shared" ref="E802:F802" si="262">E803</f>
        <v>219090.7</v>
      </c>
      <c r="F802" s="119">
        <f t="shared" si="262"/>
        <v>167675.20000000001</v>
      </c>
      <c r="L802" s="215"/>
      <c r="M802" s="215"/>
      <c r="N802" s="215"/>
    </row>
    <row r="803" spans="1:14" s="4" customFormat="1" x14ac:dyDescent="0.25">
      <c r="A803" s="24" t="s">
        <v>95</v>
      </c>
      <c r="B803" s="75" t="s">
        <v>722</v>
      </c>
      <c r="C803" s="75" t="s">
        <v>62</v>
      </c>
      <c r="D803" s="119">
        <f>'ведомств. стр. 2025-2027'!G55</f>
        <v>0</v>
      </c>
      <c r="E803" s="119">
        <f>'ведомств. стр. 2025-2027'!H55</f>
        <v>219090.7</v>
      </c>
      <c r="F803" s="119">
        <f>'ведомств. стр. 2025-2027'!I55</f>
        <v>167675.20000000001</v>
      </c>
      <c r="L803" s="215"/>
      <c r="M803" s="215"/>
      <c r="N803" s="215"/>
    </row>
    <row r="804" spans="1:14" s="4" customFormat="1" ht="25.5" x14ac:dyDescent="0.25">
      <c r="A804" s="24" t="s">
        <v>331</v>
      </c>
      <c r="B804" s="75" t="s">
        <v>332</v>
      </c>
      <c r="C804" s="75"/>
      <c r="D804" s="119">
        <f>D805</f>
        <v>200</v>
      </c>
      <c r="E804" s="119">
        <f>E805</f>
        <v>200</v>
      </c>
      <c r="F804" s="119">
        <f>F805</f>
        <v>200</v>
      </c>
      <c r="L804" s="215"/>
      <c r="M804" s="215"/>
      <c r="N804" s="215"/>
    </row>
    <row r="805" spans="1:14" s="4" customFormat="1" x14ac:dyDescent="0.25">
      <c r="A805" s="24" t="s">
        <v>95</v>
      </c>
      <c r="B805" s="75" t="s">
        <v>332</v>
      </c>
      <c r="C805" s="75" t="s">
        <v>62</v>
      </c>
      <c r="D805" s="119">
        <f>'ведомств. стр. 2025-2027'!G551</f>
        <v>200</v>
      </c>
      <c r="E805" s="119">
        <f>'ведомств. стр. 2025-2027'!H551</f>
        <v>200</v>
      </c>
      <c r="F805" s="119">
        <f>'ведомств. стр. 2025-2027'!I551</f>
        <v>200</v>
      </c>
      <c r="L805" s="215"/>
      <c r="M805" s="215"/>
      <c r="N805" s="215"/>
    </row>
    <row r="806" spans="1:14" ht="25.5" x14ac:dyDescent="0.25">
      <c r="A806" s="24" t="s">
        <v>211</v>
      </c>
      <c r="B806" s="75" t="s">
        <v>237</v>
      </c>
      <c r="C806" s="75"/>
      <c r="D806" s="119">
        <f>D807</f>
        <v>15053.7</v>
      </c>
      <c r="E806" s="119">
        <f>E807</f>
        <v>14566.5</v>
      </c>
      <c r="F806" s="119">
        <f>F807</f>
        <v>14566.5</v>
      </c>
    </row>
    <row r="807" spans="1:14" x14ac:dyDescent="0.25">
      <c r="A807" s="24" t="s">
        <v>227</v>
      </c>
      <c r="B807" s="75" t="s">
        <v>237</v>
      </c>
      <c r="C807" s="75" t="s">
        <v>193</v>
      </c>
      <c r="D807" s="119">
        <f>'ведомств. стр. 2025-2027'!G575</f>
        <v>15053.7</v>
      </c>
      <c r="E807" s="119">
        <f>'ведомств. стр. 2025-2027'!H575</f>
        <v>14566.5</v>
      </c>
      <c r="F807" s="119">
        <f>'ведомств. стр. 2025-2027'!I575</f>
        <v>14566.5</v>
      </c>
    </row>
    <row r="808" spans="1:14" ht="43.5" customHeight="1" x14ac:dyDescent="0.25">
      <c r="A808" s="24" t="s">
        <v>1028</v>
      </c>
      <c r="B808" s="75" t="s">
        <v>1027</v>
      </c>
      <c r="C808" s="75"/>
      <c r="D808" s="119">
        <f>D809</f>
        <v>6000</v>
      </c>
      <c r="E808" s="119">
        <f t="shared" ref="E808:F808" si="263">E809</f>
        <v>0</v>
      </c>
      <c r="F808" s="119">
        <f t="shared" si="263"/>
        <v>0</v>
      </c>
    </row>
    <row r="809" spans="1:14" x14ac:dyDescent="0.25">
      <c r="A809" s="24" t="s">
        <v>95</v>
      </c>
      <c r="B809" s="75" t="s">
        <v>1027</v>
      </c>
      <c r="C809" s="75" t="s">
        <v>62</v>
      </c>
      <c r="D809" s="119">
        <f>'ведомств. стр. 2025-2027'!G717</f>
        <v>6000</v>
      </c>
      <c r="E809" s="119">
        <f>'ведомств. стр. 2025-2027'!H717</f>
        <v>0</v>
      </c>
      <c r="F809" s="119">
        <f>'ведомств. стр. 2025-2027'!I717</f>
        <v>0</v>
      </c>
    </row>
    <row r="810" spans="1:14" ht="38.25" x14ac:dyDescent="0.25">
      <c r="A810" s="24" t="s">
        <v>958</v>
      </c>
      <c r="B810" s="75" t="s">
        <v>957</v>
      </c>
      <c r="C810" s="75"/>
      <c r="D810" s="119">
        <f>D811</f>
        <v>666.7</v>
      </c>
      <c r="E810" s="119">
        <f t="shared" ref="E810:F810" si="264">E811</f>
        <v>0</v>
      </c>
      <c r="F810" s="119">
        <f t="shared" si="264"/>
        <v>0</v>
      </c>
    </row>
    <row r="811" spans="1:14" x14ac:dyDescent="0.25">
      <c r="A811" s="28" t="s">
        <v>85</v>
      </c>
      <c r="B811" s="75" t="s">
        <v>957</v>
      </c>
      <c r="C811" s="75" t="s">
        <v>86</v>
      </c>
      <c r="D811" s="119">
        <f>'ведомств. стр. 2025-2027'!G704</f>
        <v>666.7</v>
      </c>
      <c r="E811" s="119">
        <f>'ведомств. стр. 2025-2027'!H704</f>
        <v>0</v>
      </c>
      <c r="F811" s="119">
        <f>'ведомств. стр. 2025-2027'!I704</f>
        <v>0</v>
      </c>
    </row>
    <row r="812" spans="1:14" ht="51" x14ac:dyDescent="0.25">
      <c r="A812" s="24" t="s">
        <v>960</v>
      </c>
      <c r="B812" s="75" t="s">
        <v>959</v>
      </c>
      <c r="C812" s="75"/>
      <c r="D812" s="119">
        <f>D813</f>
        <v>5011.7</v>
      </c>
      <c r="E812" s="119">
        <f t="shared" ref="E812:F812" si="265">E813</f>
        <v>0</v>
      </c>
      <c r="F812" s="119">
        <f t="shared" si="265"/>
        <v>0</v>
      </c>
    </row>
    <row r="813" spans="1:14" x14ac:dyDescent="0.25">
      <c r="A813" s="24" t="s">
        <v>95</v>
      </c>
      <c r="B813" s="75" t="s">
        <v>959</v>
      </c>
      <c r="C813" s="75" t="s">
        <v>62</v>
      </c>
      <c r="D813" s="119">
        <f>'ведомств. стр. 2025-2027'!G978</f>
        <v>5011.7</v>
      </c>
      <c r="E813" s="119">
        <f>'ведомств. стр. 2025-2027'!H978</f>
        <v>0</v>
      </c>
      <c r="F813" s="119">
        <f>'ведомств. стр. 2025-2027'!I978</f>
        <v>0</v>
      </c>
    </row>
    <row r="814" spans="1:14" x14ac:dyDescent="0.25">
      <c r="A814" s="84"/>
      <c r="B814" s="97"/>
      <c r="C814" s="84"/>
      <c r="D814" s="84"/>
      <c r="E814" s="84"/>
      <c r="F814" s="84"/>
    </row>
    <row r="815" spans="1:14" x14ac:dyDescent="0.25">
      <c r="A815" s="84"/>
      <c r="B815" s="97"/>
      <c r="C815" s="84"/>
      <c r="D815" s="84"/>
      <c r="E815" s="84"/>
      <c r="F815" s="84"/>
    </row>
    <row r="816" spans="1:14" x14ac:dyDescent="0.25">
      <c r="A816" s="84"/>
      <c r="B816" s="97"/>
      <c r="C816" s="84"/>
      <c r="D816" s="85"/>
      <c r="E816" s="85"/>
      <c r="F816" s="85"/>
    </row>
    <row r="817" spans="1:6" x14ac:dyDescent="0.25">
      <c r="A817" s="84"/>
      <c r="B817" s="97"/>
      <c r="C817" s="84"/>
      <c r="D817" s="85"/>
      <c r="E817" s="85"/>
      <c r="F817" s="85"/>
    </row>
    <row r="818" spans="1:6" x14ac:dyDescent="0.25">
      <c r="A818" s="84"/>
      <c r="B818" s="97"/>
      <c r="C818" s="84"/>
      <c r="D818" s="84"/>
      <c r="E818" s="84"/>
      <c r="F818" s="84"/>
    </row>
    <row r="819" spans="1:6" x14ac:dyDescent="0.25">
      <c r="A819" s="84"/>
      <c r="B819" s="97"/>
      <c r="C819" s="84"/>
      <c r="D819" s="222"/>
      <c r="E819" s="222"/>
      <c r="F819" s="222"/>
    </row>
    <row r="820" spans="1:6" x14ac:dyDescent="0.25">
      <c r="A820" s="84"/>
      <c r="B820" s="97"/>
      <c r="C820" s="84"/>
      <c r="D820" s="84"/>
      <c r="E820" s="84"/>
      <c r="F820" s="84"/>
    </row>
    <row r="821" spans="1:6" x14ac:dyDescent="0.25">
      <c r="A821" s="84"/>
      <c r="B821" s="97"/>
      <c r="C821" s="84"/>
      <c r="D821" s="84"/>
      <c r="E821" s="84"/>
      <c r="F821" s="84"/>
    </row>
    <row r="822" spans="1:6" x14ac:dyDescent="0.25">
      <c r="A822" s="84"/>
      <c r="B822" s="97"/>
      <c r="C822" s="84"/>
      <c r="D822" s="84"/>
      <c r="E822" s="84"/>
      <c r="F822" s="84"/>
    </row>
    <row r="823" spans="1:6" x14ac:dyDescent="0.25">
      <c r="A823" s="84"/>
      <c r="B823" s="97"/>
      <c r="C823" s="84"/>
      <c r="D823" s="84"/>
      <c r="E823" s="84"/>
      <c r="F823" s="84"/>
    </row>
    <row r="824" spans="1:6" x14ac:dyDescent="0.25">
      <c r="A824" s="84"/>
      <c r="B824" s="97"/>
      <c r="C824" s="84"/>
      <c r="D824" s="158"/>
      <c r="E824" s="158"/>
      <c r="F824" s="158"/>
    </row>
    <row r="825" spans="1:6" x14ac:dyDescent="0.25">
      <c r="A825" s="84"/>
      <c r="B825" s="97"/>
      <c r="C825" s="84"/>
      <c r="D825" s="84"/>
      <c r="E825" s="84"/>
      <c r="F825" s="84"/>
    </row>
    <row r="826" spans="1:6" x14ac:dyDescent="0.25">
      <c r="A826" s="84"/>
      <c r="B826" s="97"/>
      <c r="C826" s="84"/>
      <c r="D826" s="84"/>
      <c r="E826" s="84"/>
      <c r="F826" s="84"/>
    </row>
    <row r="827" spans="1:6" x14ac:dyDescent="0.25">
      <c r="A827" s="84"/>
      <c r="B827" s="97"/>
      <c r="C827" s="84"/>
      <c r="D827" s="84"/>
      <c r="E827" s="84"/>
      <c r="F827" s="84"/>
    </row>
    <row r="828" spans="1:6" x14ac:dyDescent="0.25">
      <c r="A828" s="84"/>
      <c r="B828" s="97"/>
      <c r="C828" s="84"/>
      <c r="D828" s="84"/>
      <c r="E828" s="84"/>
      <c r="F828" s="84"/>
    </row>
    <row r="829" spans="1:6" x14ac:dyDescent="0.25">
      <c r="A829" s="84"/>
      <c r="B829" s="97"/>
      <c r="C829" s="84"/>
      <c r="D829" s="84"/>
      <c r="E829" s="84"/>
      <c r="F829" s="84"/>
    </row>
    <row r="830" spans="1:6" x14ac:dyDescent="0.25">
      <c r="A830" s="84"/>
      <c r="B830" s="97"/>
      <c r="C830" s="84"/>
      <c r="D830" s="84"/>
      <c r="E830" s="84"/>
      <c r="F830" s="84"/>
    </row>
    <row r="831" spans="1:6" x14ac:dyDescent="0.25">
      <c r="A831" s="84"/>
      <c r="B831" s="97"/>
      <c r="C831" s="84"/>
      <c r="D831" s="84"/>
      <c r="E831" s="84"/>
      <c r="F831" s="84"/>
    </row>
    <row r="832" spans="1:6" x14ac:dyDescent="0.25">
      <c r="A832" s="84"/>
      <c r="B832" s="97"/>
      <c r="C832" s="84"/>
      <c r="D832" s="84"/>
      <c r="E832" s="84"/>
      <c r="F832" s="84"/>
    </row>
    <row r="833" spans="1:6" x14ac:dyDescent="0.25">
      <c r="A833" s="84"/>
      <c r="B833" s="97"/>
      <c r="C833" s="84"/>
      <c r="D833" s="84"/>
      <c r="E833" s="84"/>
      <c r="F833" s="84"/>
    </row>
    <row r="834" spans="1:6" x14ac:dyDescent="0.25">
      <c r="A834" s="84"/>
      <c r="B834" s="97"/>
      <c r="C834" s="84"/>
      <c r="D834" s="84"/>
      <c r="E834" s="84"/>
      <c r="F834" s="84"/>
    </row>
    <row r="835" spans="1:6" x14ac:dyDescent="0.25">
      <c r="A835" s="84"/>
      <c r="B835" s="97"/>
      <c r="C835" s="84"/>
      <c r="D835" s="84"/>
      <c r="E835" s="84"/>
      <c r="F835" s="84"/>
    </row>
    <row r="836" spans="1:6" x14ac:dyDescent="0.25">
      <c r="A836" s="84"/>
      <c r="B836" s="97"/>
      <c r="C836" s="84"/>
      <c r="D836" s="84"/>
      <c r="E836" s="84"/>
      <c r="F836" s="84"/>
    </row>
    <row r="837" spans="1:6" x14ac:dyDescent="0.25">
      <c r="A837" s="84"/>
      <c r="B837" s="97"/>
      <c r="C837" s="84"/>
      <c r="D837" s="84"/>
      <c r="E837" s="84"/>
      <c r="F837" s="84"/>
    </row>
    <row r="838" spans="1:6" x14ac:dyDescent="0.25">
      <c r="A838" s="84"/>
      <c r="B838" s="97"/>
      <c r="C838" s="84"/>
      <c r="D838" s="84"/>
      <c r="E838" s="84"/>
      <c r="F838" s="84"/>
    </row>
    <row r="839" spans="1:6" x14ac:dyDescent="0.25">
      <c r="A839" s="84"/>
      <c r="B839" s="97"/>
      <c r="C839" s="84"/>
      <c r="D839" s="84"/>
      <c r="E839" s="84"/>
      <c r="F839" s="84"/>
    </row>
    <row r="840" spans="1:6" x14ac:dyDescent="0.25">
      <c r="A840" s="84"/>
      <c r="B840" s="97"/>
      <c r="C840" s="84"/>
      <c r="D840" s="84"/>
      <c r="E840" s="84"/>
      <c r="F840" s="84"/>
    </row>
    <row r="841" spans="1:6" x14ac:dyDescent="0.25">
      <c r="A841" s="84"/>
      <c r="B841" s="97"/>
      <c r="C841" s="84"/>
      <c r="D841" s="84"/>
      <c r="E841" s="84"/>
      <c r="F841" s="84"/>
    </row>
    <row r="842" spans="1:6" x14ac:dyDescent="0.25">
      <c r="A842" s="84"/>
      <c r="B842" s="97"/>
      <c r="C842" s="84"/>
      <c r="D842" s="84"/>
      <c r="E842" s="84"/>
      <c r="F842" s="84"/>
    </row>
    <row r="843" spans="1:6" x14ac:dyDescent="0.25">
      <c r="A843" s="84"/>
      <c r="B843" s="97"/>
      <c r="C843" s="84"/>
      <c r="D843" s="84"/>
      <c r="E843" s="84"/>
      <c r="F843" s="84"/>
    </row>
    <row r="844" spans="1:6" x14ac:dyDescent="0.25">
      <c r="A844" s="84"/>
      <c r="B844" s="97"/>
      <c r="C844" s="84"/>
      <c r="D844" s="84"/>
      <c r="E844" s="84"/>
      <c r="F844" s="84"/>
    </row>
    <row r="845" spans="1:6" x14ac:dyDescent="0.25">
      <c r="A845" s="84"/>
      <c r="B845" s="97"/>
      <c r="C845" s="84"/>
      <c r="D845" s="84"/>
      <c r="E845" s="84"/>
      <c r="F845" s="84"/>
    </row>
    <row r="846" spans="1:6" x14ac:dyDescent="0.25">
      <c r="A846" s="84"/>
      <c r="B846" s="97"/>
      <c r="C846" s="84"/>
      <c r="D846" s="84"/>
      <c r="E846" s="84"/>
      <c r="F846" s="84"/>
    </row>
    <row r="847" spans="1:6" x14ac:dyDescent="0.25">
      <c r="A847" s="84"/>
      <c r="B847" s="97"/>
      <c r="C847" s="84"/>
      <c r="D847" s="84"/>
      <c r="E847" s="84"/>
      <c r="F847" s="84"/>
    </row>
    <row r="848" spans="1:6" x14ac:dyDescent="0.25">
      <c r="A848" s="84"/>
      <c r="B848" s="97"/>
      <c r="C848" s="84"/>
      <c r="D848" s="84"/>
      <c r="E848" s="84"/>
      <c r="F848" s="84"/>
    </row>
    <row r="849" spans="1:6" x14ac:dyDescent="0.25">
      <c r="A849" s="84"/>
      <c r="B849" s="97"/>
      <c r="C849" s="84"/>
      <c r="D849" s="84"/>
      <c r="E849" s="84"/>
      <c r="F849" s="84"/>
    </row>
    <row r="850" spans="1:6" x14ac:dyDescent="0.25">
      <c r="A850" s="84"/>
      <c r="B850" s="97"/>
      <c r="C850" s="84"/>
      <c r="D850" s="84"/>
      <c r="E850" s="84"/>
      <c r="F850" s="84"/>
    </row>
    <row r="851" spans="1:6" x14ac:dyDescent="0.25">
      <c r="A851" s="84"/>
      <c r="B851" s="97"/>
      <c r="C851" s="84"/>
      <c r="D851" s="84"/>
      <c r="E851" s="84"/>
      <c r="F851" s="84"/>
    </row>
    <row r="852" spans="1:6" x14ac:dyDescent="0.25">
      <c r="A852" s="84"/>
      <c r="B852" s="97"/>
      <c r="C852" s="84"/>
      <c r="D852" s="84"/>
      <c r="E852" s="84"/>
      <c r="F852" s="84"/>
    </row>
    <row r="853" spans="1:6" x14ac:dyDescent="0.25">
      <c r="A853" s="84"/>
      <c r="B853" s="97"/>
      <c r="C853" s="84"/>
      <c r="D853" s="84"/>
      <c r="E853" s="84"/>
      <c r="F853" s="84"/>
    </row>
    <row r="854" spans="1:6" x14ac:dyDescent="0.25">
      <c r="A854" s="84"/>
      <c r="B854" s="97"/>
      <c r="C854" s="84"/>
      <c r="D854" s="84"/>
      <c r="E854" s="84"/>
      <c r="F854" s="84"/>
    </row>
    <row r="855" spans="1:6" x14ac:dyDescent="0.25">
      <c r="A855" s="84"/>
      <c r="B855" s="97"/>
      <c r="C855" s="84"/>
      <c r="D855" s="84"/>
      <c r="E855" s="84"/>
      <c r="F855" s="84"/>
    </row>
    <row r="856" spans="1:6" x14ac:dyDescent="0.25">
      <c r="A856" s="84"/>
      <c r="B856" s="97"/>
      <c r="C856" s="84"/>
      <c r="D856" s="84"/>
      <c r="E856" s="84"/>
      <c r="F856" s="84"/>
    </row>
    <row r="857" spans="1:6" x14ac:dyDescent="0.25">
      <c r="A857" s="84"/>
      <c r="B857" s="97"/>
      <c r="C857" s="84"/>
      <c r="D857" s="84"/>
      <c r="E857" s="84"/>
      <c r="F857" s="84"/>
    </row>
    <row r="858" spans="1:6" x14ac:dyDescent="0.25">
      <c r="A858" s="84"/>
      <c r="B858" s="97"/>
      <c r="C858" s="84"/>
      <c r="D858" s="84"/>
      <c r="E858" s="84"/>
      <c r="F858" s="84"/>
    </row>
    <row r="859" spans="1:6" x14ac:dyDescent="0.25">
      <c r="A859" s="84"/>
      <c r="B859" s="97"/>
      <c r="C859" s="84"/>
      <c r="D859" s="84"/>
      <c r="E859" s="84"/>
      <c r="F859" s="84"/>
    </row>
    <row r="860" spans="1:6" x14ac:dyDescent="0.25">
      <c r="A860" s="84"/>
      <c r="B860" s="97"/>
      <c r="C860" s="84"/>
      <c r="D860" s="84"/>
      <c r="E860" s="84"/>
      <c r="F860" s="84"/>
    </row>
    <row r="861" spans="1:6" x14ac:dyDescent="0.25">
      <c r="A861" s="84"/>
      <c r="B861" s="97"/>
      <c r="C861" s="84"/>
      <c r="D861" s="84"/>
      <c r="E861" s="84"/>
      <c r="F861" s="84"/>
    </row>
    <row r="862" spans="1:6" x14ac:dyDescent="0.25">
      <c r="A862" s="84"/>
      <c r="B862" s="97"/>
      <c r="C862" s="84"/>
      <c r="D862" s="84"/>
      <c r="E862" s="84"/>
      <c r="F862" s="84"/>
    </row>
    <row r="863" spans="1:6" x14ac:dyDescent="0.25">
      <c r="A863" s="84"/>
      <c r="B863" s="97"/>
      <c r="C863" s="84"/>
      <c r="D863" s="84"/>
      <c r="E863" s="84"/>
      <c r="F863" s="84"/>
    </row>
    <row r="864" spans="1:6" x14ac:dyDescent="0.25">
      <c r="A864" s="84"/>
      <c r="B864" s="97"/>
      <c r="C864" s="84"/>
      <c r="D864" s="84"/>
      <c r="E864" s="84"/>
      <c r="F864" s="84"/>
    </row>
    <row r="865" spans="1:6" x14ac:dyDescent="0.25">
      <c r="A865" s="84"/>
      <c r="B865" s="97"/>
      <c r="C865" s="84"/>
      <c r="D865" s="84"/>
      <c r="E865" s="84"/>
      <c r="F865" s="84"/>
    </row>
    <row r="866" spans="1:6" x14ac:dyDescent="0.25">
      <c r="A866" s="84"/>
      <c r="B866" s="97"/>
      <c r="C866" s="84"/>
      <c r="D866" s="84"/>
      <c r="E866" s="84"/>
      <c r="F866" s="84"/>
    </row>
    <row r="867" spans="1:6" x14ac:dyDescent="0.25">
      <c r="A867" s="84"/>
      <c r="B867" s="97"/>
      <c r="C867" s="84"/>
      <c r="D867" s="84"/>
      <c r="E867" s="84"/>
      <c r="F867" s="84"/>
    </row>
    <row r="868" spans="1:6" x14ac:dyDescent="0.25">
      <c r="A868" s="84"/>
      <c r="B868" s="97"/>
      <c r="C868" s="84"/>
      <c r="D868" s="84"/>
      <c r="E868" s="84"/>
      <c r="F868" s="84"/>
    </row>
    <row r="869" spans="1:6" x14ac:dyDescent="0.25">
      <c r="A869" s="84"/>
      <c r="B869" s="97"/>
      <c r="C869" s="84"/>
      <c r="D869" s="84"/>
      <c r="E869" s="84"/>
      <c r="F869" s="84"/>
    </row>
    <row r="870" spans="1:6" x14ac:dyDescent="0.25">
      <c r="A870" s="84"/>
      <c r="B870" s="97"/>
      <c r="C870" s="84"/>
      <c r="D870" s="84"/>
      <c r="E870" s="84"/>
      <c r="F870" s="84"/>
    </row>
    <row r="871" spans="1:6" x14ac:dyDescent="0.25">
      <c r="A871" s="84"/>
      <c r="B871" s="97"/>
      <c r="C871" s="84"/>
      <c r="D871" s="84"/>
      <c r="E871" s="84"/>
      <c r="F871" s="84"/>
    </row>
    <row r="872" spans="1:6" x14ac:dyDescent="0.25">
      <c r="A872" s="84"/>
      <c r="B872" s="97"/>
      <c r="C872" s="84"/>
      <c r="D872" s="84"/>
      <c r="E872" s="84"/>
      <c r="F872" s="84"/>
    </row>
    <row r="873" spans="1:6" x14ac:dyDescent="0.25">
      <c r="A873" s="84"/>
      <c r="B873" s="97"/>
      <c r="C873" s="84"/>
      <c r="D873" s="84"/>
      <c r="E873" s="84"/>
      <c r="F873" s="84"/>
    </row>
    <row r="874" spans="1:6" x14ac:dyDescent="0.25">
      <c r="A874" s="84"/>
      <c r="B874" s="97"/>
      <c r="C874" s="84"/>
      <c r="D874" s="84"/>
      <c r="E874" s="84"/>
      <c r="F874" s="84"/>
    </row>
    <row r="875" spans="1:6" x14ac:dyDescent="0.25">
      <c r="A875" s="84"/>
      <c r="B875" s="97"/>
      <c r="C875" s="84"/>
      <c r="D875" s="84"/>
      <c r="E875" s="84"/>
      <c r="F875" s="84"/>
    </row>
    <row r="876" spans="1:6" x14ac:dyDescent="0.25">
      <c r="A876" s="84"/>
      <c r="B876" s="97"/>
      <c r="C876" s="84"/>
      <c r="D876" s="84"/>
      <c r="E876" s="84"/>
      <c r="F876" s="84"/>
    </row>
    <row r="877" spans="1:6" x14ac:dyDescent="0.25">
      <c r="A877" s="84"/>
      <c r="B877" s="97"/>
      <c r="C877" s="84"/>
      <c r="D877" s="84"/>
      <c r="E877" s="84"/>
      <c r="F877" s="84"/>
    </row>
    <row r="878" spans="1:6" x14ac:dyDescent="0.25">
      <c r="A878" s="84"/>
      <c r="B878" s="97"/>
      <c r="C878" s="84"/>
      <c r="D878" s="84"/>
      <c r="E878" s="84"/>
      <c r="F878" s="84"/>
    </row>
    <row r="879" spans="1:6" x14ac:dyDescent="0.25">
      <c r="A879" s="84"/>
      <c r="B879" s="97"/>
      <c r="C879" s="84"/>
      <c r="D879" s="84"/>
      <c r="E879" s="84"/>
      <c r="F879" s="84"/>
    </row>
    <row r="880" spans="1:6" x14ac:dyDescent="0.25">
      <c r="A880" s="84"/>
      <c r="B880" s="97"/>
      <c r="C880" s="84"/>
      <c r="D880" s="84"/>
      <c r="E880" s="84"/>
      <c r="F880" s="84"/>
    </row>
    <row r="881" spans="1:6" x14ac:dyDescent="0.25">
      <c r="A881" s="84"/>
      <c r="B881" s="97"/>
      <c r="C881" s="84"/>
      <c r="D881" s="84"/>
      <c r="E881" s="84"/>
      <c r="F881" s="84"/>
    </row>
    <row r="882" spans="1:6" x14ac:dyDescent="0.25">
      <c r="A882" s="84"/>
      <c r="B882" s="97"/>
      <c r="C882" s="84"/>
      <c r="D882" s="84"/>
      <c r="E882" s="84"/>
      <c r="F882" s="84"/>
    </row>
    <row r="883" spans="1:6" x14ac:dyDescent="0.25">
      <c r="A883" s="84"/>
      <c r="B883" s="97"/>
      <c r="C883" s="84"/>
      <c r="D883" s="84"/>
      <c r="E883" s="84"/>
      <c r="F883" s="84"/>
    </row>
    <row r="884" spans="1:6" x14ac:dyDescent="0.25">
      <c r="A884" s="84"/>
      <c r="B884" s="97"/>
      <c r="C884" s="84"/>
      <c r="D884" s="84"/>
      <c r="E884" s="84"/>
      <c r="F884" s="84"/>
    </row>
    <row r="885" spans="1:6" x14ac:dyDescent="0.25">
      <c r="A885" s="84"/>
      <c r="B885" s="97"/>
      <c r="C885" s="84"/>
      <c r="D885" s="84"/>
      <c r="E885" s="84"/>
      <c r="F885" s="84"/>
    </row>
    <row r="886" spans="1:6" x14ac:dyDescent="0.25">
      <c r="A886" s="84"/>
      <c r="B886" s="97"/>
      <c r="C886" s="84"/>
      <c r="D886" s="84"/>
      <c r="E886" s="84"/>
      <c r="F886" s="84"/>
    </row>
    <row r="887" spans="1:6" x14ac:dyDescent="0.25">
      <c r="A887" s="84"/>
      <c r="B887" s="97"/>
      <c r="C887" s="84"/>
      <c r="D887" s="84"/>
      <c r="E887" s="84"/>
      <c r="F887" s="84"/>
    </row>
    <row r="888" spans="1:6" x14ac:dyDescent="0.25">
      <c r="A888" s="84"/>
      <c r="B888" s="97"/>
      <c r="C888" s="84"/>
      <c r="D888" s="84"/>
      <c r="E888" s="84"/>
      <c r="F888" s="84"/>
    </row>
    <row r="889" spans="1:6" x14ac:dyDescent="0.25">
      <c r="A889" s="84"/>
      <c r="B889" s="97"/>
      <c r="C889" s="84"/>
      <c r="D889" s="84"/>
      <c r="E889" s="84"/>
      <c r="F889" s="84"/>
    </row>
    <row r="890" spans="1:6" x14ac:dyDescent="0.25">
      <c r="A890" s="84"/>
      <c r="B890" s="97"/>
      <c r="C890" s="84"/>
      <c r="D890" s="84"/>
      <c r="E890" s="84"/>
      <c r="F890" s="84"/>
    </row>
    <row r="891" spans="1:6" x14ac:dyDescent="0.25">
      <c r="A891" s="84"/>
      <c r="B891" s="97"/>
      <c r="C891" s="84"/>
      <c r="D891" s="84"/>
      <c r="E891" s="84"/>
      <c r="F891" s="84"/>
    </row>
    <row r="892" spans="1:6" x14ac:dyDescent="0.25">
      <c r="A892" s="84"/>
      <c r="B892" s="97"/>
      <c r="C892" s="84"/>
      <c r="D892" s="84"/>
      <c r="E892" s="84"/>
      <c r="F892" s="84"/>
    </row>
    <row r="893" spans="1:6" x14ac:dyDescent="0.25">
      <c r="A893" s="84"/>
      <c r="B893" s="97"/>
      <c r="C893" s="84"/>
      <c r="D893" s="84"/>
      <c r="E893" s="84"/>
      <c r="F893" s="84"/>
    </row>
    <row r="894" spans="1:6" x14ac:dyDescent="0.25">
      <c r="A894" s="84"/>
      <c r="B894" s="97"/>
      <c r="C894" s="84"/>
      <c r="D894" s="84"/>
      <c r="E894" s="84"/>
      <c r="F894" s="84"/>
    </row>
    <row r="895" spans="1:6" x14ac:dyDescent="0.25">
      <c r="A895" s="84"/>
      <c r="B895" s="97"/>
      <c r="C895" s="84"/>
      <c r="D895" s="84"/>
      <c r="E895" s="84"/>
      <c r="F895" s="84"/>
    </row>
    <row r="896" spans="1:6" x14ac:dyDescent="0.25">
      <c r="A896" s="84"/>
      <c r="B896" s="97"/>
      <c r="C896" s="84"/>
      <c r="D896" s="84"/>
      <c r="E896" s="84"/>
      <c r="F896" s="84"/>
    </row>
    <row r="897" spans="1:6" x14ac:dyDescent="0.25">
      <c r="A897" s="84"/>
      <c r="B897" s="97"/>
      <c r="C897" s="84"/>
      <c r="D897" s="84"/>
      <c r="E897" s="84"/>
      <c r="F897" s="84"/>
    </row>
    <row r="898" spans="1:6" x14ac:dyDescent="0.25">
      <c r="A898" s="84"/>
      <c r="B898" s="97"/>
      <c r="C898" s="84"/>
      <c r="D898" s="84"/>
      <c r="E898" s="84"/>
      <c r="F898" s="84"/>
    </row>
    <row r="899" spans="1:6" x14ac:dyDescent="0.25">
      <c r="A899" s="84"/>
      <c r="B899" s="97"/>
      <c r="C899" s="84"/>
      <c r="D899" s="84"/>
      <c r="E899" s="84"/>
      <c r="F899" s="84"/>
    </row>
    <row r="900" spans="1:6" x14ac:dyDescent="0.25">
      <c r="A900" s="84"/>
      <c r="B900" s="97"/>
      <c r="C900" s="84"/>
      <c r="D900" s="84"/>
      <c r="E900" s="84"/>
      <c r="F900" s="84"/>
    </row>
    <row r="901" spans="1:6" x14ac:dyDescent="0.25">
      <c r="A901" s="84"/>
      <c r="B901" s="97"/>
      <c r="C901" s="84"/>
      <c r="D901" s="84"/>
      <c r="E901" s="84"/>
      <c r="F901" s="84"/>
    </row>
    <row r="902" spans="1:6" x14ac:dyDescent="0.25">
      <c r="A902" s="84"/>
      <c r="B902" s="97"/>
      <c r="C902" s="84"/>
      <c r="D902" s="84"/>
      <c r="E902" s="84"/>
      <c r="F902" s="84"/>
    </row>
    <row r="903" spans="1:6" x14ac:dyDescent="0.25">
      <c r="A903" s="84"/>
      <c r="B903" s="97"/>
      <c r="C903" s="84"/>
      <c r="D903" s="84"/>
      <c r="E903" s="84"/>
      <c r="F903" s="84"/>
    </row>
    <row r="904" spans="1:6" x14ac:dyDescent="0.25">
      <c r="A904" s="84"/>
      <c r="B904" s="97"/>
      <c r="C904" s="84"/>
      <c r="D904" s="84"/>
      <c r="E904" s="84"/>
      <c r="F904" s="84"/>
    </row>
    <row r="905" spans="1:6" x14ac:dyDescent="0.25">
      <c r="A905" s="84"/>
      <c r="B905" s="97"/>
      <c r="C905" s="84"/>
      <c r="D905" s="84"/>
      <c r="E905" s="84"/>
      <c r="F905" s="84"/>
    </row>
    <row r="906" spans="1:6" x14ac:dyDescent="0.25">
      <c r="A906" s="84"/>
      <c r="B906" s="97"/>
      <c r="C906" s="84"/>
      <c r="D906" s="84"/>
      <c r="E906" s="84"/>
      <c r="F906" s="84"/>
    </row>
    <row r="907" spans="1:6" x14ac:dyDescent="0.25">
      <c r="A907" s="84"/>
      <c r="B907" s="97"/>
      <c r="C907" s="84"/>
      <c r="D907" s="84"/>
      <c r="E907" s="84"/>
      <c r="F907" s="84"/>
    </row>
    <row r="908" spans="1:6" x14ac:dyDescent="0.25">
      <c r="A908" s="84"/>
      <c r="B908" s="97"/>
      <c r="C908" s="84"/>
      <c r="D908" s="84"/>
      <c r="E908" s="84"/>
      <c r="F908" s="84"/>
    </row>
    <row r="909" spans="1:6" x14ac:dyDescent="0.25">
      <c r="A909" s="84"/>
      <c r="B909" s="97"/>
      <c r="C909" s="84"/>
      <c r="D909" s="84"/>
      <c r="E909" s="84"/>
      <c r="F909" s="84"/>
    </row>
    <row r="910" spans="1:6" x14ac:dyDescent="0.25">
      <c r="A910" s="84"/>
      <c r="B910" s="97"/>
      <c r="C910" s="84"/>
      <c r="D910" s="84"/>
      <c r="E910" s="84"/>
      <c r="F910" s="84"/>
    </row>
    <row r="911" spans="1:6" x14ac:dyDescent="0.25">
      <c r="A911" s="84"/>
      <c r="B911" s="97"/>
      <c r="C911" s="84"/>
      <c r="D911" s="84"/>
      <c r="E911" s="84"/>
      <c r="F911" s="84"/>
    </row>
    <row r="912" spans="1:6" x14ac:dyDescent="0.25">
      <c r="A912" s="84"/>
      <c r="B912" s="97"/>
      <c r="C912" s="84"/>
      <c r="D912" s="84"/>
      <c r="E912" s="84"/>
      <c r="F912" s="84"/>
    </row>
    <row r="913" spans="1:6" x14ac:dyDescent="0.25">
      <c r="A913" s="84"/>
      <c r="B913" s="97"/>
      <c r="C913" s="84"/>
      <c r="D913" s="84"/>
      <c r="E913" s="84"/>
      <c r="F913" s="84"/>
    </row>
    <row r="914" spans="1:6" x14ac:dyDescent="0.25">
      <c r="A914" s="84"/>
      <c r="B914" s="97"/>
      <c r="C914" s="84"/>
      <c r="D914" s="84"/>
      <c r="E914" s="84"/>
      <c r="F914" s="84"/>
    </row>
    <row r="915" spans="1:6" x14ac:dyDescent="0.25">
      <c r="A915" s="84"/>
      <c r="B915" s="97"/>
      <c r="C915" s="84"/>
      <c r="D915" s="84"/>
      <c r="E915" s="84"/>
      <c r="F915" s="84"/>
    </row>
    <row r="916" spans="1:6" x14ac:dyDescent="0.25">
      <c r="A916" s="84"/>
      <c r="B916" s="97"/>
      <c r="C916" s="84"/>
      <c r="D916" s="84"/>
      <c r="E916" s="84"/>
      <c r="F916" s="84"/>
    </row>
    <row r="917" spans="1:6" x14ac:dyDescent="0.25">
      <c r="A917" s="84"/>
      <c r="B917" s="97"/>
      <c r="C917" s="84"/>
      <c r="D917" s="84"/>
      <c r="E917" s="84"/>
      <c r="F917" s="84"/>
    </row>
    <row r="918" spans="1:6" x14ac:dyDescent="0.25">
      <c r="A918" s="84"/>
      <c r="B918" s="97"/>
      <c r="C918" s="84"/>
      <c r="D918" s="84"/>
      <c r="E918" s="84"/>
      <c r="F918" s="84"/>
    </row>
    <row r="919" spans="1:6" x14ac:dyDescent="0.25">
      <c r="A919" s="84"/>
      <c r="B919" s="97"/>
      <c r="C919" s="84"/>
      <c r="D919" s="84"/>
      <c r="E919" s="84"/>
      <c r="F919" s="84"/>
    </row>
    <row r="920" spans="1:6" x14ac:dyDescent="0.25">
      <c r="A920" s="84"/>
      <c r="B920" s="97"/>
      <c r="C920" s="84"/>
      <c r="D920" s="84"/>
      <c r="E920" s="84"/>
      <c r="F920" s="84"/>
    </row>
    <row r="921" spans="1:6" x14ac:dyDescent="0.25">
      <c r="A921" s="84"/>
      <c r="B921" s="97"/>
      <c r="C921" s="84"/>
      <c r="D921" s="84"/>
      <c r="E921" s="84"/>
      <c r="F921" s="84"/>
    </row>
    <row r="922" spans="1:6" x14ac:dyDescent="0.25">
      <c r="A922" s="84"/>
      <c r="B922" s="97"/>
      <c r="C922" s="84"/>
      <c r="D922" s="84"/>
      <c r="E922" s="84"/>
      <c r="F922" s="84"/>
    </row>
    <row r="923" spans="1:6" x14ac:dyDescent="0.25">
      <c r="A923" s="84"/>
      <c r="B923" s="97"/>
      <c r="C923" s="84"/>
      <c r="D923" s="84"/>
      <c r="E923" s="84"/>
      <c r="F923" s="84"/>
    </row>
    <row r="924" spans="1:6" x14ac:dyDescent="0.25">
      <c r="A924" s="84"/>
      <c r="B924" s="97"/>
      <c r="C924" s="84"/>
      <c r="D924" s="84"/>
      <c r="E924" s="84"/>
      <c r="F924" s="84"/>
    </row>
    <row r="925" spans="1:6" x14ac:dyDescent="0.25">
      <c r="A925" s="84"/>
      <c r="B925" s="97"/>
      <c r="C925" s="84"/>
      <c r="D925" s="84"/>
      <c r="E925" s="84"/>
      <c r="F925" s="84"/>
    </row>
    <row r="926" spans="1:6" x14ac:dyDescent="0.25">
      <c r="A926" s="84"/>
      <c r="B926" s="97"/>
      <c r="C926" s="84"/>
      <c r="D926" s="84"/>
      <c r="E926" s="84"/>
      <c r="F926" s="84"/>
    </row>
    <row r="927" spans="1:6" x14ac:dyDescent="0.25">
      <c r="A927" s="84"/>
      <c r="B927" s="97"/>
      <c r="C927" s="84"/>
      <c r="D927" s="84"/>
      <c r="E927" s="84"/>
      <c r="F927" s="84"/>
    </row>
    <row r="928" spans="1:6" x14ac:dyDescent="0.25">
      <c r="A928" s="84"/>
      <c r="B928" s="97"/>
      <c r="C928" s="84"/>
      <c r="D928" s="84"/>
      <c r="E928" s="84"/>
      <c r="F928" s="84"/>
    </row>
    <row r="929" spans="1:6" x14ac:dyDescent="0.25">
      <c r="A929" s="84"/>
      <c r="B929" s="97"/>
      <c r="C929" s="84"/>
      <c r="D929" s="84"/>
      <c r="E929" s="84"/>
      <c r="F929" s="84"/>
    </row>
    <row r="930" spans="1:6" x14ac:dyDescent="0.25">
      <c r="A930" s="84"/>
      <c r="B930" s="97"/>
      <c r="C930" s="84"/>
      <c r="D930" s="84"/>
      <c r="E930" s="84"/>
      <c r="F930" s="84"/>
    </row>
    <row r="931" spans="1:6" x14ac:dyDescent="0.25">
      <c r="A931" s="84"/>
      <c r="B931" s="97"/>
      <c r="C931" s="84"/>
      <c r="D931" s="84"/>
      <c r="E931" s="84"/>
      <c r="F931" s="84"/>
    </row>
    <row r="932" spans="1:6" x14ac:dyDescent="0.25">
      <c r="A932" s="84"/>
      <c r="B932" s="97"/>
      <c r="C932" s="84"/>
      <c r="D932" s="84"/>
      <c r="E932" s="84"/>
      <c r="F932" s="84"/>
    </row>
    <row r="933" spans="1:6" x14ac:dyDescent="0.25">
      <c r="A933" s="84"/>
      <c r="B933" s="97"/>
      <c r="C933" s="84"/>
      <c r="D933" s="84"/>
      <c r="E933" s="84"/>
      <c r="F933" s="84"/>
    </row>
    <row r="934" spans="1:6" x14ac:dyDescent="0.25">
      <c r="A934" s="84"/>
      <c r="B934" s="97"/>
      <c r="C934" s="84"/>
      <c r="D934" s="84"/>
      <c r="E934" s="84"/>
      <c r="F934" s="84"/>
    </row>
    <row r="935" spans="1:6" x14ac:dyDescent="0.25">
      <c r="A935" s="84"/>
      <c r="B935" s="97"/>
      <c r="C935" s="84"/>
      <c r="D935" s="84"/>
      <c r="E935" s="84"/>
      <c r="F935" s="84"/>
    </row>
    <row r="936" spans="1:6" x14ac:dyDescent="0.25">
      <c r="A936" s="84"/>
      <c r="B936" s="97"/>
      <c r="C936" s="84"/>
      <c r="D936" s="84"/>
      <c r="E936" s="84"/>
      <c r="F936" s="84"/>
    </row>
    <row r="937" spans="1:6" x14ac:dyDescent="0.25">
      <c r="A937" s="84"/>
      <c r="B937" s="97"/>
      <c r="C937" s="84"/>
      <c r="D937" s="84"/>
      <c r="E937" s="84"/>
      <c r="F937" s="84"/>
    </row>
    <row r="938" spans="1:6" x14ac:dyDescent="0.25">
      <c r="A938" s="84"/>
      <c r="B938" s="97"/>
      <c r="C938" s="84"/>
      <c r="D938" s="84"/>
      <c r="E938" s="84"/>
      <c r="F938" s="84"/>
    </row>
    <row r="939" spans="1:6" x14ac:dyDescent="0.25">
      <c r="A939" s="84"/>
      <c r="B939" s="97"/>
      <c r="C939" s="84"/>
      <c r="D939" s="84"/>
      <c r="E939" s="84"/>
      <c r="F939" s="84"/>
    </row>
    <row r="940" spans="1:6" x14ac:dyDescent="0.25">
      <c r="A940" s="84"/>
      <c r="B940" s="97"/>
      <c r="C940" s="84"/>
      <c r="D940" s="84"/>
      <c r="E940" s="84"/>
      <c r="F940" s="84"/>
    </row>
    <row r="941" spans="1:6" x14ac:dyDescent="0.25">
      <c r="A941" s="84"/>
      <c r="B941" s="97"/>
      <c r="C941" s="84"/>
      <c r="D941" s="84"/>
      <c r="E941" s="84"/>
      <c r="F941" s="84"/>
    </row>
    <row r="942" spans="1:6" x14ac:dyDescent="0.25">
      <c r="A942" s="84"/>
      <c r="B942" s="97"/>
      <c r="C942" s="84"/>
      <c r="D942" s="84"/>
      <c r="E942" s="84"/>
      <c r="F942" s="84"/>
    </row>
    <row r="943" spans="1:6" x14ac:dyDescent="0.25">
      <c r="A943" s="84"/>
      <c r="B943" s="97"/>
      <c r="C943" s="84"/>
      <c r="D943" s="84"/>
      <c r="E943" s="84"/>
      <c r="F943" s="84"/>
    </row>
    <row r="944" spans="1:6" x14ac:dyDescent="0.25">
      <c r="A944" s="84"/>
      <c r="B944" s="97"/>
      <c r="C944" s="84"/>
      <c r="D944" s="84"/>
      <c r="E944" s="84"/>
      <c r="F944" s="84"/>
    </row>
    <row r="945" spans="1:6" x14ac:dyDescent="0.25">
      <c r="A945" s="84"/>
      <c r="B945" s="97"/>
      <c r="C945" s="84"/>
      <c r="D945" s="84"/>
      <c r="E945" s="84"/>
      <c r="F945" s="84"/>
    </row>
    <row r="946" spans="1:6" x14ac:dyDescent="0.25">
      <c r="A946" s="84"/>
      <c r="B946" s="97"/>
      <c r="C946" s="84"/>
      <c r="D946" s="84"/>
      <c r="E946" s="84"/>
      <c r="F946" s="84"/>
    </row>
    <row r="947" spans="1:6" x14ac:dyDescent="0.25">
      <c r="A947" s="84"/>
      <c r="B947" s="97"/>
      <c r="C947" s="84"/>
      <c r="D947" s="84"/>
      <c r="E947" s="84"/>
      <c r="F947" s="84"/>
    </row>
    <row r="948" spans="1:6" x14ac:dyDescent="0.25">
      <c r="A948" s="84"/>
      <c r="B948" s="97"/>
      <c r="C948" s="84"/>
      <c r="D948" s="84"/>
      <c r="E948" s="84"/>
      <c r="F948" s="84"/>
    </row>
    <row r="949" spans="1:6" x14ac:dyDescent="0.25">
      <c r="A949" s="84"/>
      <c r="B949" s="97"/>
      <c r="C949" s="84"/>
      <c r="D949" s="84"/>
      <c r="E949" s="84"/>
      <c r="F949" s="84"/>
    </row>
    <row r="950" spans="1:6" x14ac:dyDescent="0.25">
      <c r="A950" s="84"/>
      <c r="B950" s="97"/>
      <c r="C950" s="84"/>
      <c r="D950" s="84"/>
      <c r="E950" s="84"/>
      <c r="F950" s="84"/>
    </row>
    <row r="951" spans="1:6" x14ac:dyDescent="0.25">
      <c r="A951" s="84"/>
      <c r="B951" s="97"/>
      <c r="C951" s="84"/>
      <c r="D951" s="84"/>
      <c r="E951" s="84"/>
      <c r="F951" s="84"/>
    </row>
    <row r="952" spans="1:6" x14ac:dyDescent="0.25">
      <c r="A952" s="84"/>
      <c r="B952" s="97"/>
      <c r="C952" s="84"/>
      <c r="D952" s="84"/>
      <c r="E952" s="84"/>
      <c r="F952" s="84"/>
    </row>
    <row r="953" spans="1:6" x14ac:dyDescent="0.25">
      <c r="A953" s="84"/>
      <c r="B953" s="97"/>
      <c r="C953" s="84"/>
      <c r="D953" s="84"/>
      <c r="E953" s="84"/>
      <c r="F953" s="84"/>
    </row>
    <row r="954" spans="1:6" x14ac:dyDescent="0.25">
      <c r="A954" s="84"/>
      <c r="B954" s="97"/>
      <c r="C954" s="84"/>
      <c r="D954" s="84"/>
      <c r="E954" s="84"/>
      <c r="F954" s="84"/>
    </row>
    <row r="955" spans="1:6" x14ac:dyDescent="0.25">
      <c r="A955" s="84"/>
      <c r="B955" s="97"/>
      <c r="C955" s="84"/>
      <c r="D955" s="84"/>
      <c r="E955" s="84"/>
      <c r="F955" s="84"/>
    </row>
    <row r="956" spans="1:6" x14ac:dyDescent="0.25">
      <c r="A956" s="84"/>
      <c r="B956" s="97"/>
      <c r="C956" s="84"/>
      <c r="D956" s="84"/>
      <c r="E956" s="84"/>
      <c r="F956" s="84"/>
    </row>
    <row r="957" spans="1:6" x14ac:dyDescent="0.25">
      <c r="A957" s="84"/>
      <c r="B957" s="97"/>
      <c r="C957" s="84"/>
      <c r="D957" s="84"/>
      <c r="E957" s="84"/>
      <c r="F957" s="84"/>
    </row>
    <row r="958" spans="1:6" x14ac:dyDescent="0.25">
      <c r="A958" s="84"/>
      <c r="B958" s="97"/>
      <c r="C958" s="84"/>
      <c r="D958" s="84"/>
      <c r="E958" s="84"/>
      <c r="F958" s="84"/>
    </row>
    <row r="959" spans="1:6" x14ac:dyDescent="0.25">
      <c r="A959" s="84"/>
      <c r="B959" s="97"/>
      <c r="C959" s="84"/>
      <c r="D959" s="84"/>
      <c r="E959" s="84"/>
      <c r="F959" s="84"/>
    </row>
    <row r="960" spans="1:6" x14ac:dyDescent="0.25">
      <c r="A960" s="84"/>
      <c r="B960" s="97"/>
      <c r="C960" s="84"/>
      <c r="D960" s="84"/>
      <c r="E960" s="84"/>
      <c r="F960" s="84"/>
    </row>
    <row r="961" spans="1:6" x14ac:dyDescent="0.25">
      <c r="A961" s="84"/>
      <c r="B961" s="97"/>
      <c r="C961" s="84"/>
      <c r="D961" s="84"/>
      <c r="E961" s="84"/>
      <c r="F961" s="84"/>
    </row>
    <row r="962" spans="1:6" x14ac:dyDescent="0.25">
      <c r="A962" s="84"/>
      <c r="B962" s="97"/>
      <c r="C962" s="84"/>
      <c r="D962" s="84"/>
      <c r="E962" s="84"/>
      <c r="F962" s="84"/>
    </row>
    <row r="963" spans="1:6" x14ac:dyDescent="0.25">
      <c r="A963" s="84"/>
      <c r="B963" s="97"/>
      <c r="C963" s="84"/>
      <c r="D963" s="84"/>
      <c r="E963" s="84"/>
      <c r="F963" s="84"/>
    </row>
    <row r="964" spans="1:6" x14ac:dyDescent="0.25">
      <c r="A964" s="84"/>
      <c r="B964" s="97"/>
      <c r="C964" s="84"/>
      <c r="D964" s="84"/>
      <c r="E964" s="84"/>
      <c r="F964" s="84"/>
    </row>
    <row r="965" spans="1:6" x14ac:dyDescent="0.25">
      <c r="A965" s="84"/>
      <c r="B965" s="97"/>
      <c r="C965" s="84"/>
      <c r="D965" s="84"/>
      <c r="E965" s="84"/>
      <c r="F965" s="84"/>
    </row>
    <row r="966" spans="1:6" x14ac:dyDescent="0.25">
      <c r="A966" s="84"/>
      <c r="B966" s="97"/>
      <c r="C966" s="84"/>
      <c r="D966" s="84"/>
      <c r="E966" s="84"/>
      <c r="F966" s="84"/>
    </row>
    <row r="967" spans="1:6" x14ac:dyDescent="0.25">
      <c r="A967" s="84"/>
      <c r="B967" s="97"/>
      <c r="C967" s="84"/>
      <c r="D967" s="84"/>
      <c r="E967" s="84"/>
      <c r="F967" s="84"/>
    </row>
    <row r="968" spans="1:6" x14ac:dyDescent="0.25">
      <c r="A968" s="84"/>
      <c r="B968" s="97"/>
      <c r="C968" s="84"/>
      <c r="D968" s="84"/>
      <c r="E968" s="84"/>
      <c r="F968" s="84"/>
    </row>
    <row r="969" spans="1:6" x14ac:dyDescent="0.25">
      <c r="A969" s="84"/>
      <c r="B969" s="97"/>
      <c r="C969" s="84"/>
      <c r="D969" s="84"/>
      <c r="E969" s="84"/>
      <c r="F969" s="84"/>
    </row>
    <row r="970" spans="1:6" x14ac:dyDescent="0.25">
      <c r="A970" s="84"/>
      <c r="B970" s="97"/>
      <c r="C970" s="84"/>
      <c r="D970" s="84"/>
      <c r="E970" s="84"/>
      <c r="F970" s="84"/>
    </row>
    <row r="971" spans="1:6" x14ac:dyDescent="0.25">
      <c r="A971" s="84"/>
      <c r="B971" s="97"/>
      <c r="C971" s="84"/>
      <c r="D971" s="84"/>
      <c r="E971" s="84"/>
      <c r="F971" s="84"/>
    </row>
    <row r="972" spans="1:6" x14ac:dyDescent="0.25">
      <c r="A972" s="84"/>
      <c r="B972" s="97"/>
      <c r="C972" s="84"/>
      <c r="D972" s="84"/>
      <c r="E972" s="84"/>
      <c r="F972" s="84"/>
    </row>
    <row r="973" spans="1:6" x14ac:dyDescent="0.25">
      <c r="A973" s="84"/>
      <c r="B973" s="97"/>
      <c r="C973" s="84"/>
      <c r="D973" s="84"/>
      <c r="E973" s="84"/>
      <c r="F973" s="84"/>
    </row>
    <row r="974" spans="1:6" x14ac:dyDescent="0.25">
      <c r="A974" s="84"/>
      <c r="B974" s="97"/>
      <c r="C974" s="84"/>
      <c r="D974" s="84"/>
      <c r="E974" s="84"/>
      <c r="F974" s="84"/>
    </row>
    <row r="975" spans="1:6" x14ac:dyDescent="0.25">
      <c r="A975" s="84"/>
      <c r="B975" s="97"/>
      <c r="C975" s="84"/>
      <c r="D975" s="84"/>
      <c r="E975" s="84"/>
      <c r="F975" s="84"/>
    </row>
    <row r="976" spans="1:6" x14ac:dyDescent="0.25">
      <c r="A976" s="84"/>
      <c r="B976" s="97"/>
      <c r="C976" s="84"/>
      <c r="D976" s="84"/>
      <c r="E976" s="84"/>
      <c r="F976" s="84"/>
    </row>
    <row r="977" spans="1:6" x14ac:dyDescent="0.25">
      <c r="A977" s="84"/>
      <c r="B977" s="97"/>
      <c r="C977" s="84"/>
      <c r="D977" s="84"/>
      <c r="E977" s="84"/>
      <c r="F977" s="84"/>
    </row>
    <row r="978" spans="1:6" x14ac:dyDescent="0.25">
      <c r="A978" s="84"/>
      <c r="B978" s="97"/>
      <c r="C978" s="84"/>
      <c r="D978" s="84"/>
      <c r="E978" s="84"/>
      <c r="F978" s="84"/>
    </row>
    <row r="979" spans="1:6" x14ac:dyDescent="0.25">
      <c r="A979" s="84"/>
      <c r="B979" s="97"/>
      <c r="C979" s="84"/>
      <c r="D979" s="84"/>
      <c r="E979" s="84"/>
      <c r="F979" s="84"/>
    </row>
    <row r="980" spans="1:6" x14ac:dyDescent="0.25">
      <c r="A980" s="84"/>
      <c r="B980" s="97"/>
      <c r="C980" s="84"/>
      <c r="D980" s="84"/>
      <c r="E980" s="84"/>
      <c r="F980" s="84"/>
    </row>
    <row r="981" spans="1:6" x14ac:dyDescent="0.25">
      <c r="A981" s="84"/>
      <c r="B981" s="97"/>
      <c r="C981" s="84"/>
      <c r="D981" s="84"/>
      <c r="E981" s="84"/>
      <c r="F981" s="84"/>
    </row>
    <row r="982" spans="1:6" x14ac:dyDescent="0.25">
      <c r="A982" s="84"/>
      <c r="B982" s="97"/>
      <c r="C982" s="84"/>
      <c r="D982" s="84"/>
      <c r="E982" s="84"/>
      <c r="F982" s="84"/>
    </row>
    <row r="983" spans="1:6" x14ac:dyDescent="0.25">
      <c r="A983" s="84"/>
      <c r="B983" s="97"/>
      <c r="C983" s="84"/>
      <c r="D983" s="84"/>
      <c r="E983" s="84"/>
      <c r="F983" s="84"/>
    </row>
    <row r="984" spans="1:6" x14ac:dyDescent="0.25">
      <c r="A984" s="84"/>
      <c r="B984" s="97"/>
      <c r="C984" s="84"/>
      <c r="D984" s="84"/>
      <c r="E984" s="84"/>
      <c r="F984" s="84"/>
    </row>
    <row r="985" spans="1:6" x14ac:dyDescent="0.25">
      <c r="A985" s="84"/>
      <c r="B985" s="97"/>
      <c r="C985" s="84"/>
      <c r="D985" s="84"/>
      <c r="E985" s="84"/>
      <c r="F985" s="84"/>
    </row>
    <row r="986" spans="1:6" x14ac:dyDescent="0.25">
      <c r="A986" s="84"/>
      <c r="B986" s="97"/>
      <c r="C986" s="84"/>
      <c r="D986" s="84"/>
      <c r="E986" s="84"/>
      <c r="F986" s="84"/>
    </row>
    <row r="987" spans="1:6" x14ac:dyDescent="0.25">
      <c r="A987" s="84"/>
      <c r="B987" s="97"/>
      <c r="C987" s="84"/>
      <c r="D987" s="84"/>
      <c r="E987" s="84"/>
      <c r="F987" s="84"/>
    </row>
    <row r="988" spans="1:6" x14ac:dyDescent="0.25">
      <c r="A988" s="84"/>
      <c r="B988" s="97"/>
      <c r="C988" s="84"/>
      <c r="D988" s="84"/>
      <c r="E988" s="84"/>
      <c r="F988" s="84"/>
    </row>
    <row r="989" spans="1:6" x14ac:dyDescent="0.25">
      <c r="A989" s="84"/>
      <c r="B989" s="97"/>
      <c r="C989" s="84"/>
      <c r="D989" s="84"/>
      <c r="E989" s="84"/>
      <c r="F989" s="84"/>
    </row>
    <row r="990" spans="1:6" x14ac:dyDescent="0.25">
      <c r="A990" s="84"/>
      <c r="B990" s="97"/>
      <c r="C990" s="84"/>
      <c r="D990" s="84"/>
      <c r="E990" s="84"/>
      <c r="F990" s="84"/>
    </row>
    <row r="991" spans="1:6" x14ac:dyDescent="0.25">
      <c r="A991" s="84"/>
      <c r="B991" s="97"/>
      <c r="C991" s="84"/>
      <c r="D991" s="84"/>
      <c r="E991" s="84"/>
      <c r="F991" s="84"/>
    </row>
    <row r="992" spans="1:6" x14ac:dyDescent="0.25">
      <c r="A992" s="84"/>
      <c r="B992" s="97"/>
      <c r="C992" s="84"/>
      <c r="D992" s="84"/>
      <c r="E992" s="84"/>
      <c r="F992" s="84"/>
    </row>
    <row r="993" spans="1:6" x14ac:dyDescent="0.25">
      <c r="A993" s="84"/>
      <c r="B993" s="97"/>
      <c r="C993" s="84"/>
      <c r="D993" s="84"/>
      <c r="E993" s="84"/>
      <c r="F993" s="84"/>
    </row>
    <row r="994" spans="1:6" x14ac:dyDescent="0.25">
      <c r="A994" s="84"/>
      <c r="B994" s="97"/>
      <c r="C994" s="84"/>
      <c r="D994" s="84"/>
      <c r="E994" s="84"/>
      <c r="F994" s="84"/>
    </row>
    <row r="995" spans="1:6" x14ac:dyDescent="0.25">
      <c r="A995" s="84"/>
      <c r="B995" s="97"/>
      <c r="C995" s="84"/>
      <c r="D995" s="84"/>
      <c r="E995" s="84"/>
      <c r="F995" s="84"/>
    </row>
    <row r="996" spans="1:6" x14ac:dyDescent="0.25">
      <c r="A996" s="84"/>
      <c r="B996" s="97"/>
      <c r="C996" s="84"/>
      <c r="D996" s="84"/>
      <c r="E996" s="84"/>
      <c r="F996" s="84"/>
    </row>
    <row r="997" spans="1:6" x14ac:dyDescent="0.25">
      <c r="A997" s="84"/>
      <c r="B997" s="97"/>
      <c r="C997" s="84"/>
      <c r="D997" s="84"/>
      <c r="E997" s="84"/>
      <c r="F997" s="84"/>
    </row>
    <row r="998" spans="1:6" x14ac:dyDescent="0.25">
      <c r="A998" s="84"/>
      <c r="B998" s="97"/>
      <c r="C998" s="84"/>
      <c r="D998" s="84"/>
      <c r="E998" s="84"/>
      <c r="F998" s="84"/>
    </row>
    <row r="999" spans="1:6" x14ac:dyDescent="0.25">
      <c r="A999" s="84"/>
      <c r="B999" s="97"/>
      <c r="C999" s="84"/>
      <c r="D999" s="84"/>
      <c r="E999" s="84"/>
      <c r="F999" s="84"/>
    </row>
    <row r="1000" spans="1:6" x14ac:dyDescent="0.25">
      <c r="A1000" s="84"/>
      <c r="B1000" s="97"/>
      <c r="C1000" s="84"/>
      <c r="D1000" s="84"/>
      <c r="E1000" s="84"/>
      <c r="F1000" s="84"/>
    </row>
    <row r="1001" spans="1:6" x14ac:dyDescent="0.25">
      <c r="A1001" s="84"/>
      <c r="B1001" s="97"/>
      <c r="C1001" s="84"/>
      <c r="D1001" s="84"/>
      <c r="E1001" s="84"/>
      <c r="F1001" s="84"/>
    </row>
    <row r="1002" spans="1:6" x14ac:dyDescent="0.25">
      <c r="A1002" s="84"/>
      <c r="B1002" s="97"/>
      <c r="C1002" s="84"/>
      <c r="D1002" s="84"/>
      <c r="E1002" s="84"/>
      <c r="F1002" s="84"/>
    </row>
    <row r="1003" spans="1:6" x14ac:dyDescent="0.25">
      <c r="A1003" s="84"/>
      <c r="B1003" s="97"/>
      <c r="C1003" s="84"/>
      <c r="D1003" s="84"/>
      <c r="E1003" s="84"/>
      <c r="F1003" s="84"/>
    </row>
    <row r="1004" spans="1:6" x14ac:dyDescent="0.25">
      <c r="A1004" s="84"/>
      <c r="B1004" s="97"/>
      <c r="C1004" s="84"/>
      <c r="D1004" s="84"/>
      <c r="E1004" s="84"/>
      <c r="F1004" s="84"/>
    </row>
    <row r="1005" spans="1:6" x14ac:dyDescent="0.25">
      <c r="A1005" s="84"/>
      <c r="B1005" s="97"/>
      <c r="C1005" s="84"/>
      <c r="D1005" s="84"/>
      <c r="E1005" s="84"/>
      <c r="F1005" s="84"/>
    </row>
    <row r="1006" spans="1:6" x14ac:dyDescent="0.25">
      <c r="A1006" s="84"/>
      <c r="B1006" s="97"/>
      <c r="C1006" s="84"/>
      <c r="D1006" s="84"/>
      <c r="E1006" s="84"/>
      <c r="F1006" s="84"/>
    </row>
    <row r="1007" spans="1:6" x14ac:dyDescent="0.25">
      <c r="A1007" s="84"/>
      <c r="B1007" s="97"/>
      <c r="C1007" s="84"/>
      <c r="D1007" s="84"/>
      <c r="E1007" s="84"/>
      <c r="F1007" s="84"/>
    </row>
    <row r="1008" spans="1:6" x14ac:dyDescent="0.25">
      <c r="A1008" s="84"/>
      <c r="B1008" s="97"/>
      <c r="C1008" s="84"/>
      <c r="D1008" s="84"/>
      <c r="E1008" s="84"/>
      <c r="F1008" s="84"/>
    </row>
    <row r="1009" spans="1:6" x14ac:dyDescent="0.25">
      <c r="A1009" s="84"/>
      <c r="B1009" s="97"/>
      <c r="C1009" s="84"/>
      <c r="D1009" s="84"/>
      <c r="E1009" s="84"/>
      <c r="F1009" s="84"/>
    </row>
    <row r="1010" spans="1:6" x14ac:dyDescent="0.25">
      <c r="A1010" s="84"/>
      <c r="B1010" s="97"/>
      <c r="C1010" s="84"/>
      <c r="D1010" s="84"/>
      <c r="E1010" s="84"/>
      <c r="F1010" s="84"/>
    </row>
    <row r="1011" spans="1:6" x14ac:dyDescent="0.25">
      <c r="A1011" s="84"/>
      <c r="B1011" s="97"/>
      <c r="C1011" s="84"/>
      <c r="D1011" s="84"/>
      <c r="E1011" s="84"/>
      <c r="F1011" s="84"/>
    </row>
    <row r="1012" spans="1:6" x14ac:dyDescent="0.25">
      <c r="A1012" s="84"/>
      <c r="B1012" s="97"/>
      <c r="C1012" s="84"/>
      <c r="D1012" s="84"/>
      <c r="E1012" s="84"/>
      <c r="F1012" s="84"/>
    </row>
    <row r="1013" spans="1:6" x14ac:dyDescent="0.25">
      <c r="A1013" s="84"/>
      <c r="B1013" s="97"/>
      <c r="C1013" s="84"/>
      <c r="D1013" s="84"/>
      <c r="E1013" s="84"/>
      <c r="F1013" s="84"/>
    </row>
    <row r="1014" spans="1:6" x14ac:dyDescent="0.25">
      <c r="A1014" s="84"/>
      <c r="B1014" s="97"/>
      <c r="C1014" s="84"/>
      <c r="D1014" s="84"/>
      <c r="E1014" s="84"/>
      <c r="F1014" s="84"/>
    </row>
    <row r="1015" spans="1:6" x14ac:dyDescent="0.25">
      <c r="A1015" s="84"/>
      <c r="B1015" s="97"/>
      <c r="C1015" s="84"/>
      <c r="D1015" s="84"/>
      <c r="E1015" s="84"/>
      <c r="F1015" s="84"/>
    </row>
    <row r="1016" spans="1:6" x14ac:dyDescent="0.25">
      <c r="A1016" s="84"/>
      <c r="B1016" s="97"/>
      <c r="C1016" s="84"/>
      <c r="D1016" s="84"/>
      <c r="E1016" s="84"/>
      <c r="F1016" s="84"/>
    </row>
    <row r="1017" spans="1:6" x14ac:dyDescent="0.25">
      <c r="A1017" s="84"/>
      <c r="B1017" s="97"/>
      <c r="C1017" s="84"/>
      <c r="D1017" s="84"/>
      <c r="E1017" s="84"/>
      <c r="F1017" s="84"/>
    </row>
    <row r="1018" spans="1:6" x14ac:dyDescent="0.25">
      <c r="A1018" s="84"/>
      <c r="B1018" s="97"/>
      <c r="C1018" s="84"/>
      <c r="D1018" s="84"/>
      <c r="E1018" s="84"/>
      <c r="F1018" s="84"/>
    </row>
    <row r="1019" spans="1:6" x14ac:dyDescent="0.25">
      <c r="A1019" s="84"/>
      <c r="B1019" s="97"/>
      <c r="C1019" s="84"/>
      <c r="D1019" s="84"/>
      <c r="E1019" s="84"/>
      <c r="F1019" s="84"/>
    </row>
    <row r="1020" spans="1:6" x14ac:dyDescent="0.25">
      <c r="A1020" s="84"/>
      <c r="B1020" s="97"/>
      <c r="C1020" s="84"/>
      <c r="D1020" s="84"/>
      <c r="E1020" s="84"/>
      <c r="F1020" s="84"/>
    </row>
    <row r="1021" spans="1:6" x14ac:dyDescent="0.25">
      <c r="A1021" s="84"/>
      <c r="B1021" s="97"/>
      <c r="C1021" s="84"/>
      <c r="D1021" s="84"/>
      <c r="E1021" s="84"/>
      <c r="F1021" s="84"/>
    </row>
    <row r="1022" spans="1:6" x14ac:dyDescent="0.25">
      <c r="A1022" s="84"/>
      <c r="B1022" s="97"/>
      <c r="C1022" s="84"/>
      <c r="D1022" s="84"/>
      <c r="E1022" s="84"/>
      <c r="F1022" s="84"/>
    </row>
    <row r="1023" spans="1:6" x14ac:dyDescent="0.25">
      <c r="A1023" s="84"/>
      <c r="B1023" s="97"/>
      <c r="C1023" s="84"/>
      <c r="D1023" s="84"/>
      <c r="E1023" s="84"/>
      <c r="F1023" s="84"/>
    </row>
    <row r="1024" spans="1:6" x14ac:dyDescent="0.25">
      <c r="A1024" s="84"/>
      <c r="B1024" s="97"/>
      <c r="C1024" s="84"/>
      <c r="D1024" s="84"/>
      <c r="E1024" s="84"/>
      <c r="F1024" s="84"/>
    </row>
    <row r="1025" spans="1:6" x14ac:dyDescent="0.25">
      <c r="A1025" s="84"/>
      <c r="B1025" s="97"/>
      <c r="C1025" s="84"/>
      <c r="D1025" s="84"/>
      <c r="E1025" s="84"/>
      <c r="F1025" s="84"/>
    </row>
    <row r="1026" spans="1:6" x14ac:dyDescent="0.25">
      <c r="A1026" s="84"/>
      <c r="B1026" s="97"/>
      <c r="C1026" s="84"/>
      <c r="D1026" s="84"/>
      <c r="E1026" s="84"/>
      <c r="F1026" s="84"/>
    </row>
    <row r="1027" spans="1:6" x14ac:dyDescent="0.25">
      <c r="A1027" s="84"/>
      <c r="B1027" s="97"/>
      <c r="C1027" s="84"/>
      <c r="D1027" s="84"/>
      <c r="E1027" s="84"/>
      <c r="F1027" s="84"/>
    </row>
    <row r="1028" spans="1:6" x14ac:dyDescent="0.25">
      <c r="A1028" s="84"/>
      <c r="B1028" s="97"/>
      <c r="C1028" s="84"/>
      <c r="D1028" s="84"/>
      <c r="E1028" s="84"/>
      <c r="F1028" s="84"/>
    </row>
    <row r="1029" spans="1:6" x14ac:dyDescent="0.25">
      <c r="A1029" s="84"/>
      <c r="B1029" s="97"/>
      <c r="C1029" s="84"/>
      <c r="D1029" s="84"/>
      <c r="E1029" s="84"/>
      <c r="F1029" s="84"/>
    </row>
    <row r="1030" spans="1:6" x14ac:dyDescent="0.25">
      <c r="A1030" s="84"/>
      <c r="B1030" s="97"/>
      <c r="C1030" s="84"/>
      <c r="D1030" s="84"/>
      <c r="E1030" s="84"/>
      <c r="F1030" s="84"/>
    </row>
    <row r="1031" spans="1:6" x14ac:dyDescent="0.25">
      <c r="A1031" s="84"/>
      <c r="B1031" s="97"/>
      <c r="C1031" s="84"/>
      <c r="D1031" s="84"/>
      <c r="E1031" s="84"/>
      <c r="F1031" s="84"/>
    </row>
    <row r="1032" spans="1:6" x14ac:dyDescent="0.25">
      <c r="A1032" s="84"/>
      <c r="B1032" s="97"/>
      <c r="C1032" s="84"/>
      <c r="D1032" s="84"/>
      <c r="E1032" s="84"/>
      <c r="F1032" s="84"/>
    </row>
    <row r="1033" spans="1:6" x14ac:dyDescent="0.25">
      <c r="A1033" s="84"/>
      <c r="B1033" s="97"/>
      <c r="C1033" s="84"/>
      <c r="D1033" s="84"/>
      <c r="E1033" s="84"/>
      <c r="F1033" s="84"/>
    </row>
    <row r="1034" spans="1:6" x14ac:dyDescent="0.25">
      <c r="A1034" s="84"/>
      <c r="B1034" s="97"/>
      <c r="C1034" s="84"/>
      <c r="D1034" s="84"/>
      <c r="E1034" s="84"/>
      <c r="F1034" s="84"/>
    </row>
    <row r="1035" spans="1:6" x14ac:dyDescent="0.25">
      <c r="A1035" s="84"/>
      <c r="B1035" s="97"/>
      <c r="C1035" s="84"/>
      <c r="D1035" s="84"/>
      <c r="E1035" s="84"/>
      <c r="F1035" s="84"/>
    </row>
    <row r="1036" spans="1:6" x14ac:dyDescent="0.25">
      <c r="A1036" s="84"/>
      <c r="B1036" s="97"/>
      <c r="C1036" s="84"/>
      <c r="D1036" s="84"/>
      <c r="E1036" s="84"/>
      <c r="F1036" s="84"/>
    </row>
    <row r="1037" spans="1:6" x14ac:dyDescent="0.25">
      <c r="A1037" s="84"/>
      <c r="B1037" s="97"/>
      <c r="C1037" s="84"/>
      <c r="D1037" s="84"/>
      <c r="E1037" s="84"/>
      <c r="F1037" s="84"/>
    </row>
    <row r="1038" spans="1:6" x14ac:dyDescent="0.25">
      <c r="A1038" s="84"/>
      <c r="B1038" s="97"/>
      <c r="C1038" s="84"/>
      <c r="D1038" s="84"/>
      <c r="E1038" s="84"/>
      <c r="F1038" s="84"/>
    </row>
    <row r="1039" spans="1:6" x14ac:dyDescent="0.25">
      <c r="A1039" s="84"/>
      <c r="B1039" s="97"/>
      <c r="C1039" s="84"/>
      <c r="D1039" s="84"/>
      <c r="E1039" s="84"/>
      <c r="F1039" s="84"/>
    </row>
    <row r="1040" spans="1:6" x14ac:dyDescent="0.25">
      <c r="A1040" s="84"/>
      <c r="B1040" s="97"/>
      <c r="C1040" s="84"/>
      <c r="D1040" s="84"/>
      <c r="E1040" s="84"/>
      <c r="F1040" s="84"/>
    </row>
    <row r="1041" spans="1:6" x14ac:dyDescent="0.25">
      <c r="A1041" s="84"/>
      <c r="B1041" s="97"/>
      <c r="C1041" s="84"/>
      <c r="D1041" s="84"/>
      <c r="E1041" s="84"/>
      <c r="F1041" s="84"/>
    </row>
    <row r="1042" spans="1:6" x14ac:dyDescent="0.25">
      <c r="A1042" s="84"/>
      <c r="B1042" s="97"/>
      <c r="C1042" s="84"/>
      <c r="D1042" s="84"/>
      <c r="E1042" s="84"/>
      <c r="F1042" s="84"/>
    </row>
    <row r="1043" spans="1:6" x14ac:dyDescent="0.25">
      <c r="A1043" s="84"/>
      <c r="B1043" s="97"/>
      <c r="C1043" s="84"/>
      <c r="D1043" s="84"/>
      <c r="E1043" s="84"/>
      <c r="F1043" s="84"/>
    </row>
    <row r="1044" spans="1:6" x14ac:dyDescent="0.25">
      <c r="A1044" s="84"/>
      <c r="B1044" s="97"/>
      <c r="C1044" s="84"/>
      <c r="D1044" s="84"/>
      <c r="E1044" s="84"/>
      <c r="F1044" s="84"/>
    </row>
    <row r="1045" spans="1:6" x14ac:dyDescent="0.25">
      <c r="A1045" s="84"/>
      <c r="B1045" s="97"/>
      <c r="C1045" s="84"/>
      <c r="D1045" s="84"/>
      <c r="E1045" s="84"/>
      <c r="F1045" s="84"/>
    </row>
    <row r="1046" spans="1:6" x14ac:dyDescent="0.25">
      <c r="A1046" s="84"/>
      <c r="B1046" s="97"/>
      <c r="C1046" s="84"/>
      <c r="D1046" s="84"/>
      <c r="E1046" s="84"/>
      <c r="F1046" s="84"/>
    </row>
    <row r="1047" spans="1:6" x14ac:dyDescent="0.25">
      <c r="A1047" s="84"/>
      <c r="B1047" s="97"/>
      <c r="C1047" s="84"/>
      <c r="D1047" s="84"/>
      <c r="E1047" s="84"/>
      <c r="F1047" s="84"/>
    </row>
    <row r="1048" spans="1:6" x14ac:dyDescent="0.25">
      <c r="A1048" s="84"/>
      <c r="B1048" s="97"/>
      <c r="C1048" s="84"/>
      <c r="D1048" s="84"/>
      <c r="E1048" s="84"/>
      <c r="F1048" s="84"/>
    </row>
    <row r="1049" spans="1:6" x14ac:dyDescent="0.25">
      <c r="A1049" s="84"/>
      <c r="B1049" s="97"/>
      <c r="C1049" s="84"/>
      <c r="D1049" s="84"/>
      <c r="E1049" s="84"/>
      <c r="F1049" s="84"/>
    </row>
    <row r="1050" spans="1:6" x14ac:dyDescent="0.25">
      <c r="A1050" s="84"/>
      <c r="B1050" s="97"/>
      <c r="C1050" s="84"/>
      <c r="D1050" s="84"/>
      <c r="E1050" s="84"/>
      <c r="F1050" s="84"/>
    </row>
    <row r="1051" spans="1:6" x14ac:dyDescent="0.25">
      <c r="A1051" s="84"/>
      <c r="B1051" s="97"/>
      <c r="C1051" s="84"/>
      <c r="D1051" s="84"/>
      <c r="E1051" s="84"/>
      <c r="F1051" s="84"/>
    </row>
    <row r="1052" spans="1:6" x14ac:dyDescent="0.25">
      <c r="A1052" s="84"/>
      <c r="B1052" s="97"/>
      <c r="C1052" s="84"/>
      <c r="D1052" s="84"/>
      <c r="E1052" s="84"/>
      <c r="F1052" s="84"/>
    </row>
    <row r="1053" spans="1:6" x14ac:dyDescent="0.25">
      <c r="A1053" s="84"/>
      <c r="B1053" s="97"/>
      <c r="C1053" s="84"/>
      <c r="D1053" s="84"/>
      <c r="E1053" s="84"/>
      <c r="F1053" s="84"/>
    </row>
    <row r="1054" spans="1:6" x14ac:dyDescent="0.25">
      <c r="A1054" s="84"/>
      <c r="B1054" s="97"/>
      <c r="C1054" s="84"/>
      <c r="D1054" s="84"/>
      <c r="E1054" s="84"/>
      <c r="F1054" s="84"/>
    </row>
    <row r="1055" spans="1:6" x14ac:dyDescent="0.25">
      <c r="A1055" s="84"/>
      <c r="B1055" s="97"/>
      <c r="C1055" s="84"/>
      <c r="D1055" s="84"/>
      <c r="E1055" s="84"/>
      <c r="F1055" s="84"/>
    </row>
    <row r="1056" spans="1:6" x14ac:dyDescent="0.25">
      <c r="A1056" s="84"/>
      <c r="B1056" s="97"/>
      <c r="C1056" s="84"/>
      <c r="D1056" s="84"/>
      <c r="E1056" s="84"/>
      <c r="F1056" s="84"/>
    </row>
    <row r="1057" spans="1:6" x14ac:dyDescent="0.25">
      <c r="A1057" s="84"/>
      <c r="B1057" s="97"/>
      <c r="C1057" s="84"/>
      <c r="D1057" s="84"/>
      <c r="E1057" s="84"/>
      <c r="F1057" s="84"/>
    </row>
    <row r="1058" spans="1:6" x14ac:dyDescent="0.25">
      <c r="A1058" s="84"/>
      <c r="B1058" s="97"/>
      <c r="C1058" s="84"/>
      <c r="D1058" s="84"/>
      <c r="E1058" s="84"/>
      <c r="F1058" s="84"/>
    </row>
    <row r="1059" spans="1:6" x14ac:dyDescent="0.25">
      <c r="A1059" s="84"/>
      <c r="B1059" s="97"/>
      <c r="C1059" s="84"/>
      <c r="D1059" s="84"/>
      <c r="E1059" s="84"/>
      <c r="F1059" s="84"/>
    </row>
    <row r="1060" spans="1:6" x14ac:dyDescent="0.25">
      <c r="A1060" s="84"/>
      <c r="B1060" s="97"/>
      <c r="C1060" s="84"/>
      <c r="D1060" s="84"/>
      <c r="E1060" s="84"/>
      <c r="F1060" s="84"/>
    </row>
    <row r="1061" spans="1:6" x14ac:dyDescent="0.25">
      <c r="A1061" s="84"/>
      <c r="B1061" s="97"/>
      <c r="C1061" s="84"/>
      <c r="D1061" s="84"/>
      <c r="E1061" s="84"/>
      <c r="F1061" s="84"/>
    </row>
    <row r="1062" spans="1:6" x14ac:dyDescent="0.25">
      <c r="A1062" s="84"/>
      <c r="B1062" s="97"/>
      <c r="C1062" s="84"/>
      <c r="D1062" s="84"/>
      <c r="E1062" s="84"/>
      <c r="F1062" s="84"/>
    </row>
    <row r="1063" spans="1:6" x14ac:dyDescent="0.25">
      <c r="A1063" s="84"/>
      <c r="B1063" s="97"/>
      <c r="C1063" s="84"/>
      <c r="D1063" s="84"/>
      <c r="E1063" s="84"/>
      <c r="F1063" s="84"/>
    </row>
    <row r="1064" spans="1:6" x14ac:dyDescent="0.25">
      <c r="A1064" s="84"/>
      <c r="B1064" s="97"/>
      <c r="C1064" s="84"/>
      <c r="D1064" s="84"/>
      <c r="E1064" s="84"/>
      <c r="F1064" s="84"/>
    </row>
    <row r="1065" spans="1:6" x14ac:dyDescent="0.25">
      <c r="A1065" s="84"/>
      <c r="B1065" s="97"/>
      <c r="C1065" s="84"/>
      <c r="D1065" s="84"/>
      <c r="E1065" s="84"/>
      <c r="F1065" s="84"/>
    </row>
    <row r="1066" spans="1:6" x14ac:dyDescent="0.25">
      <c r="A1066" s="84"/>
      <c r="B1066" s="97"/>
      <c r="C1066" s="84"/>
      <c r="D1066" s="84"/>
      <c r="E1066" s="84"/>
      <c r="F1066" s="84"/>
    </row>
    <row r="1067" spans="1:6" x14ac:dyDescent="0.25">
      <c r="A1067" s="84"/>
      <c r="B1067" s="97"/>
      <c r="C1067" s="84"/>
      <c r="D1067" s="84"/>
      <c r="E1067" s="84"/>
      <c r="F1067" s="84"/>
    </row>
    <row r="1068" spans="1:6" x14ac:dyDescent="0.25">
      <c r="A1068" s="84"/>
      <c r="B1068" s="97"/>
      <c r="C1068" s="84"/>
      <c r="D1068" s="84"/>
      <c r="E1068" s="84"/>
      <c r="F1068" s="84"/>
    </row>
    <row r="1069" spans="1:6" x14ac:dyDescent="0.25">
      <c r="A1069" s="84"/>
      <c r="B1069" s="97"/>
      <c r="C1069" s="84"/>
      <c r="D1069" s="84"/>
      <c r="E1069" s="84"/>
      <c r="F1069" s="84"/>
    </row>
    <row r="1070" spans="1:6" x14ac:dyDescent="0.25">
      <c r="A1070" s="84"/>
      <c r="B1070" s="97"/>
      <c r="C1070" s="84"/>
      <c r="D1070" s="84"/>
      <c r="E1070" s="84"/>
      <c r="F1070" s="84"/>
    </row>
    <row r="1071" spans="1:6" x14ac:dyDescent="0.25">
      <c r="A1071" s="84"/>
      <c r="B1071" s="97"/>
      <c r="C1071" s="84"/>
      <c r="D1071" s="84"/>
      <c r="E1071" s="84"/>
      <c r="F1071" s="84"/>
    </row>
    <row r="1072" spans="1:6" x14ac:dyDescent="0.25">
      <c r="A1072" s="84"/>
      <c r="B1072" s="97"/>
      <c r="C1072" s="84"/>
      <c r="D1072" s="84"/>
      <c r="E1072" s="84"/>
      <c r="F1072" s="84"/>
    </row>
    <row r="1073" spans="1:6" x14ac:dyDescent="0.25">
      <c r="A1073" s="84"/>
      <c r="B1073" s="97"/>
      <c r="C1073" s="84"/>
      <c r="D1073" s="84"/>
      <c r="E1073" s="84"/>
      <c r="F1073" s="84"/>
    </row>
    <row r="1074" spans="1:6" x14ac:dyDescent="0.25">
      <c r="A1074" s="84"/>
      <c r="B1074" s="97"/>
      <c r="C1074" s="84"/>
      <c r="D1074" s="84"/>
      <c r="E1074" s="84"/>
      <c r="F1074" s="84"/>
    </row>
    <row r="1075" spans="1:6" x14ac:dyDescent="0.25">
      <c r="A1075" s="84"/>
      <c r="B1075" s="97"/>
      <c r="C1075" s="84"/>
      <c r="D1075" s="84"/>
      <c r="E1075" s="84"/>
      <c r="F1075" s="84"/>
    </row>
    <row r="1076" spans="1:6" x14ac:dyDescent="0.25">
      <c r="A1076" s="84"/>
      <c r="B1076" s="97"/>
      <c r="C1076" s="84"/>
      <c r="D1076" s="84"/>
      <c r="E1076" s="84"/>
      <c r="F1076" s="84"/>
    </row>
    <row r="1077" spans="1:6" x14ac:dyDescent="0.25">
      <c r="A1077" s="84"/>
      <c r="B1077" s="97"/>
      <c r="C1077" s="84"/>
      <c r="D1077" s="84"/>
      <c r="E1077" s="84"/>
      <c r="F1077" s="84"/>
    </row>
    <row r="1078" spans="1:6" x14ac:dyDescent="0.25">
      <c r="A1078" s="84"/>
      <c r="B1078" s="97"/>
      <c r="C1078" s="84"/>
      <c r="D1078" s="84"/>
      <c r="E1078" s="84"/>
      <c r="F1078" s="84"/>
    </row>
    <row r="1079" spans="1:6" x14ac:dyDescent="0.25">
      <c r="A1079" s="84"/>
      <c r="B1079" s="97"/>
      <c r="C1079" s="84"/>
      <c r="D1079" s="84"/>
      <c r="E1079" s="84"/>
      <c r="F1079" s="84"/>
    </row>
    <row r="1080" spans="1:6" x14ac:dyDescent="0.25">
      <c r="A1080" s="84"/>
      <c r="B1080" s="97"/>
      <c r="C1080" s="84"/>
      <c r="D1080" s="84"/>
      <c r="E1080" s="84"/>
      <c r="F1080" s="84"/>
    </row>
    <row r="1081" spans="1:6" x14ac:dyDescent="0.25">
      <c r="A1081" s="84"/>
      <c r="B1081" s="97"/>
      <c r="C1081" s="84"/>
      <c r="D1081" s="84"/>
      <c r="E1081" s="84"/>
      <c r="F1081" s="84"/>
    </row>
    <row r="1082" spans="1:6" x14ac:dyDescent="0.25">
      <c r="A1082" s="84"/>
      <c r="B1082" s="97"/>
      <c r="C1082" s="84"/>
      <c r="D1082" s="84"/>
      <c r="E1082" s="84"/>
      <c r="F1082" s="84"/>
    </row>
    <row r="1083" spans="1:6" x14ac:dyDescent="0.25">
      <c r="A1083" s="84"/>
      <c r="B1083" s="97"/>
      <c r="C1083" s="84"/>
      <c r="D1083" s="84"/>
      <c r="E1083" s="84"/>
      <c r="F1083" s="84"/>
    </row>
    <row r="1084" spans="1:6" x14ac:dyDescent="0.25">
      <c r="A1084" s="84"/>
      <c r="B1084" s="97"/>
      <c r="C1084" s="84"/>
      <c r="D1084" s="84"/>
      <c r="E1084" s="84"/>
      <c r="F1084" s="84"/>
    </row>
    <row r="1085" spans="1:6" x14ac:dyDescent="0.25">
      <c r="A1085" s="84"/>
      <c r="B1085" s="97"/>
      <c r="C1085" s="84"/>
      <c r="D1085" s="84"/>
      <c r="E1085" s="84"/>
      <c r="F1085" s="84"/>
    </row>
    <row r="1086" spans="1:6" x14ac:dyDescent="0.25">
      <c r="A1086" s="84"/>
      <c r="B1086" s="97"/>
      <c r="C1086" s="84"/>
      <c r="D1086" s="84"/>
      <c r="E1086" s="84"/>
      <c r="F1086" s="84"/>
    </row>
    <row r="1087" spans="1:6" x14ac:dyDescent="0.25">
      <c r="A1087" s="84"/>
      <c r="B1087" s="97"/>
      <c r="C1087" s="84"/>
      <c r="D1087" s="84"/>
      <c r="E1087" s="84"/>
      <c r="F1087" s="84"/>
    </row>
    <row r="1088" spans="1:6" x14ac:dyDescent="0.25">
      <c r="A1088" s="84"/>
      <c r="B1088" s="97"/>
      <c r="C1088" s="84"/>
      <c r="D1088" s="84"/>
      <c r="E1088" s="84"/>
      <c r="F1088" s="84"/>
    </row>
    <row r="1089" spans="1:6" x14ac:dyDescent="0.25">
      <c r="A1089" s="84"/>
      <c r="B1089" s="97"/>
      <c r="C1089" s="84"/>
      <c r="D1089" s="84"/>
      <c r="E1089" s="84"/>
      <c r="F1089" s="84"/>
    </row>
    <row r="1090" spans="1:6" x14ac:dyDescent="0.25">
      <c r="A1090" s="84"/>
      <c r="B1090" s="97"/>
      <c r="C1090" s="84"/>
      <c r="D1090" s="84"/>
      <c r="E1090" s="84"/>
      <c r="F1090" s="84"/>
    </row>
    <row r="1091" spans="1:6" x14ac:dyDescent="0.25">
      <c r="A1091" s="84"/>
      <c r="B1091" s="97"/>
      <c r="C1091" s="84"/>
      <c r="D1091" s="84"/>
      <c r="E1091" s="84"/>
      <c r="F1091" s="84"/>
    </row>
    <row r="1092" spans="1:6" x14ac:dyDescent="0.25">
      <c r="A1092" s="84"/>
      <c r="B1092" s="97"/>
      <c r="C1092" s="84"/>
      <c r="D1092" s="84"/>
      <c r="E1092" s="84"/>
      <c r="F1092" s="84"/>
    </row>
    <row r="1093" spans="1:6" x14ac:dyDescent="0.25">
      <c r="A1093" s="84"/>
      <c r="B1093" s="97"/>
      <c r="C1093" s="84"/>
      <c r="D1093" s="84"/>
      <c r="E1093" s="84"/>
      <c r="F1093" s="84"/>
    </row>
    <row r="1094" spans="1:6" x14ac:dyDescent="0.25">
      <c r="A1094" s="84"/>
      <c r="B1094" s="97"/>
      <c r="C1094" s="84"/>
      <c r="D1094" s="84"/>
      <c r="E1094" s="84"/>
      <c r="F1094" s="84"/>
    </row>
    <row r="1095" spans="1:6" x14ac:dyDescent="0.25">
      <c r="A1095" s="84"/>
      <c r="B1095" s="97"/>
      <c r="C1095" s="84"/>
      <c r="D1095" s="84"/>
      <c r="E1095" s="84"/>
      <c r="F1095" s="84"/>
    </row>
    <row r="1096" spans="1:6" x14ac:dyDescent="0.25">
      <c r="A1096" s="84"/>
      <c r="B1096" s="97"/>
      <c r="C1096" s="84"/>
      <c r="D1096" s="84"/>
      <c r="E1096" s="84"/>
      <c r="F1096" s="84"/>
    </row>
    <row r="1097" spans="1:6" x14ac:dyDescent="0.25">
      <c r="A1097" s="84"/>
      <c r="B1097" s="97"/>
      <c r="C1097" s="84"/>
      <c r="D1097" s="84"/>
      <c r="E1097" s="84"/>
      <c r="F1097" s="84"/>
    </row>
    <row r="1098" spans="1:6" x14ac:dyDescent="0.25">
      <c r="A1098" s="84"/>
      <c r="B1098" s="97"/>
      <c r="C1098" s="84"/>
      <c r="D1098" s="84"/>
      <c r="E1098" s="84"/>
      <c r="F1098" s="84"/>
    </row>
    <row r="1099" spans="1:6" x14ac:dyDescent="0.25">
      <c r="A1099" s="84"/>
      <c r="B1099" s="97"/>
      <c r="C1099" s="84"/>
      <c r="D1099" s="84"/>
      <c r="E1099" s="84"/>
      <c r="F1099" s="84"/>
    </row>
    <row r="1100" spans="1:6" x14ac:dyDescent="0.25">
      <c r="A1100" s="84"/>
      <c r="B1100" s="97"/>
      <c r="C1100" s="84"/>
      <c r="D1100" s="84"/>
      <c r="E1100" s="84"/>
      <c r="F1100" s="84"/>
    </row>
    <row r="1101" spans="1:6" x14ac:dyDescent="0.25">
      <c r="A1101" s="84"/>
      <c r="B1101" s="97"/>
      <c r="C1101" s="84"/>
      <c r="D1101" s="84"/>
      <c r="E1101" s="84"/>
      <c r="F1101" s="84"/>
    </row>
    <row r="1102" spans="1:6" x14ac:dyDescent="0.25">
      <c r="A1102" s="84"/>
      <c r="B1102" s="97"/>
      <c r="C1102" s="84"/>
      <c r="D1102" s="84"/>
      <c r="E1102" s="84"/>
      <c r="F1102" s="84"/>
    </row>
    <row r="1103" spans="1:6" x14ac:dyDescent="0.25">
      <c r="A1103" s="84"/>
      <c r="B1103" s="97"/>
      <c r="C1103" s="84"/>
      <c r="D1103" s="84"/>
      <c r="E1103" s="84"/>
      <c r="F1103" s="84"/>
    </row>
    <row r="1104" spans="1:6" x14ac:dyDescent="0.25">
      <c r="A1104" s="84"/>
      <c r="B1104" s="97"/>
      <c r="C1104" s="84"/>
      <c r="D1104" s="84"/>
      <c r="E1104" s="84"/>
      <c r="F1104" s="84"/>
    </row>
    <row r="1105" spans="1:6" x14ac:dyDescent="0.25">
      <c r="A1105" s="84"/>
      <c r="B1105" s="97"/>
      <c r="C1105" s="84"/>
      <c r="D1105" s="84"/>
      <c r="E1105" s="84"/>
      <c r="F1105" s="84"/>
    </row>
    <row r="1106" spans="1:6" x14ac:dyDescent="0.25">
      <c r="A1106" s="84"/>
      <c r="B1106" s="97"/>
      <c r="C1106" s="84"/>
      <c r="D1106" s="84"/>
      <c r="E1106" s="84"/>
      <c r="F1106" s="84"/>
    </row>
    <row r="1107" spans="1:6" x14ac:dyDescent="0.25">
      <c r="A1107" s="84"/>
      <c r="B1107" s="97"/>
      <c r="C1107" s="84"/>
      <c r="D1107" s="84"/>
      <c r="E1107" s="84"/>
      <c r="F1107" s="84"/>
    </row>
    <row r="1108" spans="1:6" x14ac:dyDescent="0.25">
      <c r="A1108" s="84"/>
      <c r="B1108" s="97"/>
      <c r="C1108" s="84"/>
      <c r="D1108" s="84"/>
      <c r="E1108" s="84"/>
      <c r="F1108" s="84"/>
    </row>
    <row r="1109" spans="1:6" x14ac:dyDescent="0.25">
      <c r="A1109" s="84"/>
      <c r="B1109" s="97"/>
      <c r="C1109" s="84"/>
      <c r="D1109" s="84"/>
      <c r="E1109" s="84"/>
      <c r="F1109" s="84"/>
    </row>
    <row r="1110" spans="1:6" x14ac:dyDescent="0.25">
      <c r="A1110" s="84"/>
      <c r="B1110" s="97"/>
      <c r="C1110" s="84"/>
      <c r="D1110" s="84"/>
      <c r="E1110" s="84"/>
      <c r="F1110" s="84"/>
    </row>
    <row r="1111" spans="1:6" x14ac:dyDescent="0.25">
      <c r="A1111" s="84"/>
      <c r="B1111" s="97"/>
      <c r="C1111" s="84"/>
      <c r="D1111" s="84"/>
      <c r="E1111" s="84"/>
      <c r="F1111" s="84"/>
    </row>
    <row r="1112" spans="1:6" x14ac:dyDescent="0.25">
      <c r="A1112" s="84"/>
      <c r="B1112" s="97"/>
      <c r="C1112" s="84"/>
      <c r="D1112" s="84"/>
      <c r="E1112" s="84"/>
      <c r="F1112" s="84"/>
    </row>
    <row r="1113" spans="1:6" x14ac:dyDescent="0.25">
      <c r="A1113" s="84"/>
      <c r="B1113" s="97"/>
      <c r="C1113" s="84"/>
      <c r="D1113" s="84"/>
      <c r="E1113" s="84"/>
      <c r="F1113" s="84"/>
    </row>
    <row r="1114" spans="1:6" x14ac:dyDescent="0.25">
      <c r="A1114" s="84"/>
      <c r="B1114" s="97"/>
      <c r="C1114" s="84"/>
      <c r="D1114" s="84"/>
      <c r="E1114" s="84"/>
      <c r="F1114" s="84"/>
    </row>
    <row r="1115" spans="1:6" x14ac:dyDescent="0.25">
      <c r="A1115" s="84"/>
      <c r="B1115" s="97"/>
      <c r="C1115" s="84"/>
      <c r="D1115" s="84"/>
      <c r="E1115" s="84"/>
      <c r="F1115" s="84"/>
    </row>
    <row r="1116" spans="1:6" x14ac:dyDescent="0.25">
      <c r="A1116" s="84"/>
      <c r="B1116" s="97"/>
      <c r="C1116" s="84"/>
      <c r="D1116" s="84"/>
      <c r="E1116" s="84"/>
      <c r="F1116" s="84"/>
    </row>
    <row r="1117" spans="1:6" x14ac:dyDescent="0.25">
      <c r="A1117" s="84"/>
      <c r="B1117" s="97"/>
      <c r="C1117" s="84"/>
      <c r="D1117" s="84"/>
      <c r="E1117" s="84"/>
      <c r="F1117" s="84"/>
    </row>
    <row r="1118" spans="1:6" x14ac:dyDescent="0.25">
      <c r="A1118" s="84"/>
      <c r="B1118" s="97"/>
      <c r="C1118" s="84"/>
      <c r="D1118" s="84"/>
      <c r="E1118" s="84"/>
      <c r="F1118" s="84"/>
    </row>
    <row r="1119" spans="1:6" x14ac:dyDescent="0.25">
      <c r="A1119" s="84"/>
      <c r="B1119" s="97"/>
      <c r="C1119" s="84"/>
      <c r="D1119" s="84"/>
      <c r="E1119" s="84"/>
      <c r="F1119" s="84"/>
    </row>
    <row r="1120" spans="1:6" x14ac:dyDescent="0.25">
      <c r="A1120" s="84"/>
      <c r="B1120" s="97"/>
      <c r="C1120" s="84"/>
      <c r="D1120" s="84"/>
      <c r="E1120" s="84"/>
      <c r="F1120" s="84"/>
    </row>
    <row r="1121" spans="1:6" x14ac:dyDescent="0.25">
      <c r="A1121" s="84"/>
      <c r="B1121" s="97"/>
      <c r="C1121" s="84"/>
      <c r="D1121" s="84"/>
      <c r="E1121" s="84"/>
      <c r="F1121" s="84"/>
    </row>
    <row r="1122" spans="1:6" x14ac:dyDescent="0.25">
      <c r="A1122" s="84"/>
      <c r="B1122" s="97"/>
      <c r="C1122" s="84"/>
      <c r="D1122" s="84"/>
      <c r="E1122" s="84"/>
      <c r="F1122" s="84"/>
    </row>
    <row r="1123" spans="1:6" x14ac:dyDescent="0.25">
      <c r="A1123" s="84"/>
      <c r="B1123" s="97"/>
      <c r="C1123" s="84"/>
      <c r="D1123" s="84"/>
      <c r="E1123" s="84"/>
      <c r="F1123" s="84"/>
    </row>
    <row r="1124" spans="1:6" x14ac:dyDescent="0.25">
      <c r="A1124" s="84"/>
      <c r="B1124" s="97"/>
      <c r="C1124" s="84"/>
      <c r="D1124" s="84"/>
      <c r="E1124" s="84"/>
      <c r="F1124" s="84"/>
    </row>
    <row r="1125" spans="1:6" x14ac:dyDescent="0.25">
      <c r="A1125" s="84"/>
      <c r="B1125" s="97"/>
      <c r="C1125" s="84"/>
      <c r="D1125" s="84"/>
      <c r="E1125" s="84"/>
      <c r="F1125" s="84"/>
    </row>
    <row r="1126" spans="1:6" x14ac:dyDescent="0.25">
      <c r="A1126" s="84"/>
      <c r="B1126" s="97"/>
      <c r="C1126" s="84"/>
      <c r="D1126" s="84"/>
      <c r="E1126" s="84"/>
      <c r="F1126" s="84"/>
    </row>
    <row r="1127" spans="1:6" x14ac:dyDescent="0.25">
      <c r="A1127" s="84"/>
      <c r="B1127" s="97"/>
      <c r="C1127" s="84"/>
      <c r="D1127" s="84"/>
      <c r="E1127" s="84"/>
      <c r="F1127" s="84"/>
    </row>
    <row r="1128" spans="1:6" x14ac:dyDescent="0.25">
      <c r="A1128" s="84"/>
      <c r="B1128" s="97"/>
      <c r="C1128" s="84"/>
      <c r="D1128" s="84"/>
      <c r="E1128" s="84"/>
      <c r="F1128" s="84"/>
    </row>
    <row r="1129" spans="1:6" x14ac:dyDescent="0.25">
      <c r="A1129" s="84"/>
      <c r="B1129" s="97"/>
      <c r="C1129" s="84"/>
      <c r="D1129" s="84"/>
      <c r="E1129" s="84"/>
      <c r="F1129" s="84"/>
    </row>
    <row r="1130" spans="1:6" x14ac:dyDescent="0.25">
      <c r="A1130" s="84"/>
      <c r="B1130" s="97"/>
      <c r="C1130" s="84"/>
      <c r="D1130" s="84"/>
      <c r="E1130" s="84"/>
      <c r="F1130" s="84"/>
    </row>
    <row r="1131" spans="1:6" x14ac:dyDescent="0.25">
      <c r="A1131" s="84"/>
      <c r="B1131" s="97"/>
      <c r="C1131" s="84"/>
      <c r="D1131" s="84"/>
      <c r="E1131" s="84"/>
      <c r="F1131" s="84"/>
    </row>
    <row r="1132" spans="1:6" x14ac:dyDescent="0.25">
      <c r="A1132" s="84"/>
      <c r="B1132" s="97"/>
      <c r="C1132" s="84"/>
      <c r="D1132" s="84"/>
      <c r="E1132" s="84"/>
      <c r="F1132" s="84"/>
    </row>
    <row r="1133" spans="1:6" x14ac:dyDescent="0.25">
      <c r="A1133" s="84"/>
      <c r="B1133" s="97"/>
      <c r="C1133" s="84"/>
      <c r="D1133" s="84"/>
      <c r="E1133" s="84"/>
      <c r="F1133" s="84"/>
    </row>
    <row r="1134" spans="1:6" x14ac:dyDescent="0.25">
      <c r="A1134" s="84"/>
      <c r="B1134" s="97"/>
      <c r="C1134" s="84"/>
      <c r="D1134" s="84"/>
      <c r="E1134" s="84"/>
      <c r="F1134" s="84"/>
    </row>
    <row r="1135" spans="1:6" x14ac:dyDescent="0.25">
      <c r="A1135" s="84"/>
      <c r="B1135" s="97"/>
      <c r="C1135" s="84"/>
      <c r="D1135" s="84"/>
      <c r="E1135" s="84"/>
      <c r="F1135" s="84"/>
    </row>
    <row r="1136" spans="1:6" x14ac:dyDescent="0.25">
      <c r="A1136" s="84"/>
      <c r="B1136" s="97"/>
      <c r="C1136" s="84"/>
      <c r="D1136" s="84"/>
      <c r="E1136" s="84"/>
      <c r="F1136" s="84"/>
    </row>
    <row r="1137" spans="1:6" x14ac:dyDescent="0.25">
      <c r="A1137" s="84"/>
      <c r="B1137" s="97"/>
      <c r="C1137" s="84"/>
      <c r="D1137" s="84"/>
      <c r="E1137" s="84"/>
      <c r="F1137" s="84"/>
    </row>
    <row r="1138" spans="1:6" x14ac:dyDescent="0.25">
      <c r="A1138" s="84"/>
      <c r="B1138" s="97"/>
      <c r="C1138" s="84"/>
      <c r="D1138" s="84"/>
      <c r="E1138" s="84"/>
      <c r="F1138" s="84"/>
    </row>
    <row r="1139" spans="1:6" x14ac:dyDescent="0.25">
      <c r="A1139" s="84"/>
      <c r="B1139" s="97"/>
      <c r="C1139" s="84"/>
      <c r="D1139" s="84"/>
      <c r="E1139" s="84"/>
      <c r="F1139" s="84"/>
    </row>
    <row r="1140" spans="1:6" x14ac:dyDescent="0.25">
      <c r="A1140" s="84"/>
      <c r="B1140" s="97"/>
      <c r="C1140" s="84"/>
      <c r="D1140" s="84"/>
      <c r="E1140" s="84"/>
      <c r="F1140" s="84"/>
    </row>
    <row r="1141" spans="1:6" x14ac:dyDescent="0.25">
      <c r="A1141" s="84"/>
      <c r="B1141" s="97"/>
      <c r="C1141" s="84"/>
      <c r="D1141" s="84"/>
      <c r="E1141" s="84"/>
      <c r="F1141" s="84"/>
    </row>
    <row r="1142" spans="1:6" x14ac:dyDescent="0.25">
      <c r="A1142" s="84"/>
      <c r="B1142" s="97"/>
      <c r="C1142" s="84"/>
      <c r="D1142" s="84"/>
      <c r="E1142" s="84"/>
      <c r="F1142" s="84"/>
    </row>
    <row r="1143" spans="1:6" x14ac:dyDescent="0.25">
      <c r="A1143" s="84"/>
      <c r="B1143" s="97"/>
      <c r="C1143" s="84"/>
      <c r="D1143" s="84"/>
      <c r="E1143" s="84"/>
      <c r="F1143" s="84"/>
    </row>
    <row r="1144" spans="1:6" x14ac:dyDescent="0.25">
      <c r="A1144" s="84"/>
      <c r="B1144" s="97"/>
      <c r="C1144" s="84"/>
      <c r="D1144" s="84"/>
      <c r="E1144" s="84"/>
      <c r="F1144" s="84"/>
    </row>
    <row r="1145" spans="1:6" x14ac:dyDescent="0.25">
      <c r="A1145" s="84"/>
      <c r="B1145" s="97"/>
      <c r="C1145" s="84"/>
      <c r="D1145" s="84"/>
      <c r="E1145" s="84"/>
      <c r="F1145" s="84"/>
    </row>
    <row r="1146" spans="1:6" x14ac:dyDescent="0.25">
      <c r="A1146" s="84"/>
      <c r="B1146" s="97"/>
      <c r="C1146" s="84"/>
      <c r="D1146" s="84"/>
      <c r="E1146" s="84"/>
      <c r="F1146" s="84"/>
    </row>
    <row r="1147" spans="1:6" x14ac:dyDescent="0.25">
      <c r="A1147" s="84"/>
      <c r="B1147" s="97"/>
      <c r="C1147" s="84"/>
      <c r="D1147" s="84"/>
      <c r="E1147" s="84"/>
      <c r="F1147" s="84"/>
    </row>
    <row r="1148" spans="1:6" x14ac:dyDescent="0.25">
      <c r="A1148" s="84"/>
      <c r="B1148" s="97"/>
      <c r="C1148" s="84"/>
      <c r="D1148" s="84"/>
      <c r="E1148" s="84"/>
      <c r="F1148" s="84"/>
    </row>
    <row r="1149" spans="1:6" x14ac:dyDescent="0.25">
      <c r="A1149" s="84"/>
      <c r="B1149" s="97"/>
      <c r="C1149" s="84"/>
      <c r="D1149" s="84"/>
      <c r="E1149" s="84"/>
      <c r="F1149" s="84"/>
    </row>
    <row r="1150" spans="1:6" x14ac:dyDescent="0.25">
      <c r="A1150" s="84"/>
      <c r="B1150" s="97"/>
      <c r="C1150" s="84"/>
      <c r="D1150" s="84"/>
      <c r="E1150" s="84"/>
      <c r="F1150" s="84"/>
    </row>
    <row r="1151" spans="1:6" x14ac:dyDescent="0.25">
      <c r="A1151" s="84"/>
      <c r="B1151" s="97"/>
      <c r="C1151" s="84"/>
      <c r="D1151" s="84"/>
      <c r="E1151" s="84"/>
      <c r="F1151" s="84"/>
    </row>
    <row r="1152" spans="1:6" x14ac:dyDescent="0.25">
      <c r="A1152" s="84"/>
      <c r="B1152" s="97"/>
      <c r="C1152" s="84"/>
      <c r="D1152" s="84"/>
      <c r="E1152" s="84"/>
      <c r="F1152" s="84"/>
    </row>
    <row r="1153" spans="1:6" x14ac:dyDescent="0.25">
      <c r="A1153" s="84"/>
      <c r="B1153" s="97"/>
      <c r="C1153" s="84"/>
      <c r="D1153" s="84"/>
      <c r="E1153" s="84"/>
      <c r="F1153" s="84"/>
    </row>
    <row r="1154" spans="1:6" x14ac:dyDescent="0.25">
      <c r="A1154" s="84"/>
      <c r="B1154" s="97"/>
      <c r="C1154" s="84"/>
      <c r="D1154" s="84"/>
      <c r="E1154" s="84"/>
      <c r="F1154" s="84"/>
    </row>
    <row r="1155" spans="1:6" x14ac:dyDescent="0.25">
      <c r="A1155" s="84"/>
      <c r="B1155" s="97"/>
      <c r="C1155" s="84"/>
      <c r="D1155" s="84"/>
      <c r="E1155" s="84"/>
      <c r="F1155" s="84"/>
    </row>
    <row r="1156" spans="1:6" x14ac:dyDescent="0.25">
      <c r="A1156" s="84"/>
      <c r="B1156" s="97"/>
      <c r="C1156" s="84"/>
      <c r="D1156" s="84"/>
      <c r="E1156" s="84"/>
      <c r="F1156" s="84"/>
    </row>
    <row r="1157" spans="1:6" x14ac:dyDescent="0.25">
      <c r="A1157" s="84"/>
      <c r="B1157" s="97"/>
      <c r="C1157" s="84"/>
      <c r="D1157" s="84"/>
      <c r="E1157" s="84"/>
      <c r="F1157" s="84"/>
    </row>
    <row r="1158" spans="1:6" x14ac:dyDescent="0.25">
      <c r="A1158" s="84"/>
      <c r="B1158" s="97"/>
      <c r="C1158" s="84"/>
      <c r="D1158" s="84"/>
      <c r="E1158" s="84"/>
      <c r="F1158" s="84"/>
    </row>
    <row r="1159" spans="1:6" x14ac:dyDescent="0.25">
      <c r="A1159" s="84"/>
      <c r="B1159" s="97"/>
      <c r="C1159" s="84"/>
      <c r="D1159" s="84"/>
      <c r="E1159" s="84"/>
      <c r="F1159" s="84"/>
    </row>
    <row r="1160" spans="1:6" x14ac:dyDescent="0.25">
      <c r="A1160" s="84"/>
      <c r="B1160" s="97"/>
      <c r="C1160" s="84"/>
      <c r="D1160" s="84"/>
      <c r="E1160" s="84"/>
      <c r="F1160" s="84"/>
    </row>
    <row r="1161" spans="1:6" x14ac:dyDescent="0.25">
      <c r="A1161" s="84"/>
      <c r="B1161" s="97"/>
      <c r="C1161" s="84"/>
      <c r="D1161" s="84"/>
      <c r="E1161" s="84"/>
      <c r="F1161" s="84"/>
    </row>
    <row r="1162" spans="1:6" x14ac:dyDescent="0.25">
      <c r="A1162" s="84"/>
      <c r="B1162" s="97"/>
      <c r="C1162" s="84"/>
      <c r="D1162" s="84"/>
      <c r="E1162" s="84"/>
      <c r="F1162" s="84"/>
    </row>
    <row r="1163" spans="1:6" x14ac:dyDescent="0.25">
      <c r="A1163" s="84"/>
      <c r="B1163" s="97"/>
      <c r="C1163" s="84"/>
      <c r="D1163" s="84"/>
      <c r="E1163" s="84"/>
      <c r="F1163" s="84"/>
    </row>
    <row r="1164" spans="1:6" x14ac:dyDescent="0.25">
      <c r="A1164" s="84"/>
      <c r="B1164" s="97"/>
      <c r="C1164" s="84"/>
      <c r="D1164" s="84"/>
      <c r="E1164" s="84"/>
      <c r="F1164" s="84"/>
    </row>
    <row r="1165" spans="1:6" x14ac:dyDescent="0.25">
      <c r="A1165" s="84"/>
      <c r="B1165" s="97"/>
      <c r="C1165" s="84"/>
      <c r="D1165" s="84"/>
      <c r="E1165" s="84"/>
      <c r="F1165" s="84"/>
    </row>
    <row r="1166" spans="1:6" x14ac:dyDescent="0.25">
      <c r="A1166" s="84"/>
      <c r="B1166" s="97"/>
      <c r="C1166" s="84"/>
      <c r="D1166" s="84"/>
      <c r="E1166" s="84"/>
      <c r="F1166" s="84"/>
    </row>
    <row r="1167" spans="1:6" x14ac:dyDescent="0.25">
      <c r="A1167" s="84"/>
      <c r="B1167" s="97"/>
      <c r="C1167" s="84"/>
      <c r="D1167" s="84"/>
      <c r="E1167" s="84"/>
      <c r="F1167" s="84"/>
    </row>
    <row r="1168" spans="1:6" x14ac:dyDescent="0.25">
      <c r="A1168" s="84"/>
      <c r="B1168" s="97"/>
      <c r="C1168" s="84"/>
      <c r="D1168" s="84"/>
      <c r="E1168" s="84"/>
      <c r="F1168" s="84"/>
    </row>
    <row r="1169" spans="1:6" x14ac:dyDescent="0.25">
      <c r="A1169" s="84"/>
      <c r="B1169" s="97"/>
      <c r="C1169" s="84"/>
      <c r="D1169" s="84"/>
      <c r="E1169" s="84"/>
      <c r="F1169" s="84"/>
    </row>
    <row r="1170" spans="1:6" x14ac:dyDescent="0.25">
      <c r="A1170" s="84"/>
      <c r="B1170" s="97"/>
      <c r="C1170" s="84"/>
      <c r="D1170" s="84"/>
      <c r="E1170" s="84"/>
      <c r="F1170" s="84"/>
    </row>
    <row r="1171" spans="1:6" x14ac:dyDescent="0.25">
      <c r="A1171" s="84"/>
      <c r="B1171" s="97"/>
      <c r="C1171" s="84"/>
      <c r="D1171" s="84"/>
      <c r="E1171" s="84"/>
      <c r="F1171" s="84"/>
    </row>
    <row r="1172" spans="1:6" x14ac:dyDescent="0.25">
      <c r="A1172" s="84"/>
      <c r="B1172" s="97"/>
      <c r="C1172" s="84"/>
      <c r="D1172" s="84"/>
      <c r="E1172" s="84"/>
      <c r="F1172" s="84"/>
    </row>
    <row r="1173" spans="1:6" x14ac:dyDescent="0.25">
      <c r="A1173" s="84"/>
      <c r="B1173" s="97"/>
      <c r="C1173" s="84"/>
      <c r="D1173" s="84"/>
      <c r="E1173" s="84"/>
      <c r="F1173" s="84"/>
    </row>
    <row r="1174" spans="1:6" x14ac:dyDescent="0.25">
      <c r="A1174" s="84"/>
      <c r="B1174" s="97"/>
      <c r="C1174" s="84"/>
      <c r="D1174" s="84"/>
      <c r="E1174" s="84"/>
      <c r="F1174" s="84"/>
    </row>
    <row r="1175" spans="1:6" x14ac:dyDescent="0.25">
      <c r="A1175" s="84"/>
      <c r="B1175" s="97"/>
      <c r="C1175" s="84"/>
      <c r="D1175" s="84"/>
      <c r="E1175" s="84"/>
      <c r="F1175" s="84"/>
    </row>
    <row r="1176" spans="1:6" x14ac:dyDescent="0.25">
      <c r="A1176" s="84"/>
      <c r="B1176" s="97"/>
      <c r="C1176" s="84"/>
      <c r="D1176" s="84"/>
      <c r="E1176" s="84"/>
      <c r="F1176" s="84"/>
    </row>
    <row r="1177" spans="1:6" x14ac:dyDescent="0.25">
      <c r="A1177" s="84"/>
      <c r="B1177" s="97"/>
      <c r="C1177" s="84"/>
      <c r="D1177" s="84"/>
      <c r="E1177" s="84"/>
      <c r="F1177" s="84"/>
    </row>
    <row r="1178" spans="1:6" x14ac:dyDescent="0.25">
      <c r="A1178" s="84"/>
      <c r="B1178" s="97"/>
      <c r="C1178" s="84"/>
      <c r="D1178" s="84"/>
      <c r="E1178" s="84"/>
      <c r="F1178" s="84"/>
    </row>
    <row r="1179" spans="1:6" x14ac:dyDescent="0.25">
      <c r="A1179" s="84"/>
      <c r="B1179" s="97"/>
      <c r="C1179" s="84"/>
      <c r="D1179" s="84"/>
      <c r="E1179" s="84"/>
      <c r="F1179" s="84"/>
    </row>
    <row r="1180" spans="1:6" x14ac:dyDescent="0.25">
      <c r="A1180" s="84"/>
      <c r="B1180" s="97"/>
      <c r="C1180" s="84"/>
      <c r="D1180" s="84"/>
      <c r="E1180" s="84"/>
      <c r="F1180" s="84"/>
    </row>
    <row r="1181" spans="1:6" x14ac:dyDescent="0.25">
      <c r="A1181" s="84"/>
      <c r="B1181" s="97"/>
      <c r="C1181" s="84"/>
      <c r="D1181" s="84"/>
      <c r="E1181" s="84"/>
      <c r="F1181" s="84"/>
    </row>
    <row r="1182" spans="1:6" x14ac:dyDescent="0.25">
      <c r="A1182" s="84"/>
      <c r="B1182" s="97"/>
      <c r="C1182" s="84"/>
      <c r="D1182" s="84"/>
      <c r="E1182" s="84"/>
      <c r="F1182" s="84"/>
    </row>
    <row r="1183" spans="1:6" x14ac:dyDescent="0.25">
      <c r="A1183" s="84"/>
      <c r="B1183" s="97"/>
      <c r="C1183" s="84"/>
      <c r="D1183" s="84"/>
      <c r="E1183" s="84"/>
      <c r="F1183" s="84"/>
    </row>
    <row r="1184" spans="1:6" x14ac:dyDescent="0.25">
      <c r="A1184" s="84"/>
      <c r="B1184" s="97"/>
      <c r="C1184" s="84"/>
      <c r="D1184" s="84"/>
      <c r="E1184" s="84"/>
      <c r="F1184" s="84"/>
    </row>
    <row r="1185" spans="1:6" x14ac:dyDescent="0.25">
      <c r="A1185" s="84"/>
      <c r="B1185" s="97"/>
      <c r="C1185" s="84"/>
      <c r="D1185" s="84"/>
      <c r="E1185" s="84"/>
      <c r="F1185" s="84"/>
    </row>
    <row r="1186" spans="1:6" x14ac:dyDescent="0.25">
      <c r="A1186" s="84"/>
      <c r="B1186" s="97"/>
      <c r="C1186" s="84"/>
      <c r="D1186" s="84"/>
      <c r="E1186" s="84"/>
      <c r="F1186" s="84"/>
    </row>
    <row r="1187" spans="1:6" x14ac:dyDescent="0.25">
      <c r="A1187" s="84"/>
      <c r="B1187" s="97"/>
      <c r="C1187" s="84"/>
      <c r="D1187" s="84"/>
      <c r="E1187" s="84"/>
      <c r="F1187" s="84"/>
    </row>
    <row r="1188" spans="1:6" x14ac:dyDescent="0.25">
      <c r="A1188" s="84"/>
      <c r="B1188" s="97"/>
      <c r="C1188" s="84"/>
      <c r="D1188" s="84"/>
      <c r="E1188" s="84"/>
      <c r="F1188" s="84"/>
    </row>
    <row r="1189" spans="1:6" x14ac:dyDescent="0.25">
      <c r="A1189" s="84"/>
      <c r="B1189" s="97"/>
      <c r="C1189" s="84"/>
      <c r="D1189" s="84"/>
      <c r="E1189" s="84"/>
      <c r="F1189" s="84"/>
    </row>
    <row r="1190" spans="1:6" x14ac:dyDescent="0.25">
      <c r="A1190" s="84"/>
      <c r="B1190" s="97"/>
      <c r="C1190" s="84"/>
      <c r="D1190" s="84"/>
      <c r="E1190" s="84"/>
      <c r="F1190" s="84"/>
    </row>
    <row r="1191" spans="1:6" x14ac:dyDescent="0.25">
      <c r="A1191" s="84"/>
      <c r="B1191" s="97"/>
      <c r="C1191" s="84"/>
      <c r="D1191" s="84"/>
      <c r="E1191" s="84"/>
      <c r="F1191" s="84"/>
    </row>
    <row r="1192" spans="1:6" x14ac:dyDescent="0.25">
      <c r="A1192" s="84"/>
      <c r="B1192" s="97"/>
      <c r="C1192" s="84"/>
      <c r="D1192" s="84"/>
      <c r="E1192" s="84"/>
      <c r="F1192" s="84"/>
    </row>
    <row r="1193" spans="1:6" x14ac:dyDescent="0.25">
      <c r="A1193" s="84"/>
      <c r="B1193" s="97"/>
      <c r="C1193" s="84"/>
      <c r="D1193" s="84"/>
      <c r="E1193" s="84"/>
      <c r="F1193" s="84"/>
    </row>
    <row r="1194" spans="1:6" x14ac:dyDescent="0.25">
      <c r="A1194" s="84"/>
      <c r="B1194" s="97"/>
      <c r="C1194" s="84"/>
      <c r="D1194" s="84"/>
      <c r="E1194" s="84"/>
      <c r="F1194" s="84"/>
    </row>
    <row r="1195" spans="1:6" x14ac:dyDescent="0.25">
      <c r="A1195" s="84"/>
      <c r="B1195" s="97"/>
      <c r="C1195" s="84"/>
      <c r="D1195" s="84"/>
      <c r="E1195" s="84"/>
      <c r="F1195" s="84"/>
    </row>
    <row r="1196" spans="1:6" x14ac:dyDescent="0.25">
      <c r="A1196" s="84"/>
      <c r="B1196" s="97"/>
      <c r="C1196" s="84"/>
      <c r="D1196" s="84"/>
      <c r="E1196" s="84"/>
      <c r="F1196" s="84"/>
    </row>
    <row r="1197" spans="1:6" x14ac:dyDescent="0.25">
      <c r="A1197" s="84"/>
      <c r="B1197" s="97"/>
      <c r="C1197" s="84"/>
      <c r="D1197" s="84"/>
      <c r="E1197" s="84"/>
      <c r="F1197" s="84"/>
    </row>
    <row r="1198" spans="1:6" x14ac:dyDescent="0.25">
      <c r="A1198" s="84"/>
      <c r="B1198" s="97"/>
      <c r="C1198" s="84"/>
      <c r="D1198" s="84"/>
      <c r="E1198" s="84"/>
      <c r="F1198" s="84"/>
    </row>
    <row r="1199" spans="1:6" x14ac:dyDescent="0.25">
      <c r="A1199" s="84"/>
      <c r="B1199" s="97"/>
      <c r="C1199" s="84"/>
      <c r="D1199" s="84"/>
      <c r="E1199" s="84"/>
      <c r="F1199" s="84"/>
    </row>
    <row r="1200" spans="1:6" x14ac:dyDescent="0.25">
      <c r="A1200" s="84"/>
      <c r="B1200" s="97"/>
      <c r="C1200" s="84"/>
      <c r="D1200" s="84"/>
      <c r="E1200" s="84"/>
      <c r="F1200" s="84"/>
    </row>
    <row r="1201" spans="1:6" x14ac:dyDescent="0.25">
      <c r="A1201" s="84"/>
      <c r="B1201" s="97"/>
      <c r="C1201" s="84"/>
      <c r="D1201" s="84"/>
      <c r="E1201" s="84"/>
      <c r="F1201" s="84"/>
    </row>
    <row r="1202" spans="1:6" x14ac:dyDescent="0.25">
      <c r="A1202" s="84"/>
      <c r="B1202" s="97"/>
      <c r="C1202" s="84"/>
      <c r="D1202" s="84"/>
      <c r="E1202" s="84"/>
      <c r="F1202" s="84"/>
    </row>
    <row r="1203" spans="1:6" x14ac:dyDescent="0.25">
      <c r="A1203" s="84"/>
      <c r="B1203" s="97"/>
      <c r="C1203" s="84"/>
      <c r="D1203" s="84"/>
      <c r="E1203" s="84"/>
      <c r="F1203" s="84"/>
    </row>
    <row r="1204" spans="1:6" x14ac:dyDescent="0.25">
      <c r="A1204" s="84"/>
      <c r="B1204" s="97"/>
      <c r="C1204" s="84"/>
      <c r="D1204" s="84"/>
      <c r="E1204" s="84"/>
      <c r="F1204" s="84"/>
    </row>
    <row r="1205" spans="1:6" x14ac:dyDescent="0.25">
      <c r="A1205" s="84"/>
      <c r="B1205" s="97"/>
      <c r="C1205" s="84"/>
      <c r="D1205" s="84"/>
      <c r="E1205" s="84"/>
      <c r="F1205" s="84"/>
    </row>
    <row r="1206" spans="1:6" x14ac:dyDescent="0.25">
      <c r="A1206" s="84"/>
      <c r="B1206" s="97"/>
      <c r="C1206" s="84"/>
      <c r="D1206" s="84"/>
      <c r="E1206" s="84"/>
      <c r="F1206" s="84"/>
    </row>
    <row r="1207" spans="1:6" x14ac:dyDescent="0.25">
      <c r="A1207" s="84"/>
      <c r="B1207" s="97"/>
      <c r="C1207" s="84"/>
      <c r="D1207" s="84"/>
      <c r="E1207" s="84"/>
      <c r="F1207" s="84"/>
    </row>
    <row r="1208" spans="1:6" x14ac:dyDescent="0.25">
      <c r="A1208" s="84"/>
      <c r="B1208" s="97"/>
      <c r="C1208" s="84"/>
      <c r="D1208" s="84"/>
      <c r="E1208" s="84"/>
      <c r="F1208" s="84"/>
    </row>
    <row r="1209" spans="1:6" x14ac:dyDescent="0.25">
      <c r="A1209" s="84"/>
      <c r="B1209" s="97"/>
      <c r="C1209" s="84"/>
      <c r="D1209" s="84"/>
      <c r="E1209" s="84"/>
      <c r="F1209" s="84"/>
    </row>
    <row r="1210" spans="1:6" x14ac:dyDescent="0.25">
      <c r="A1210" s="84"/>
      <c r="B1210" s="97"/>
      <c r="C1210" s="84"/>
      <c r="D1210" s="84"/>
      <c r="E1210" s="84"/>
      <c r="F1210" s="84"/>
    </row>
    <row r="1211" spans="1:6" x14ac:dyDescent="0.25">
      <c r="A1211" s="84"/>
      <c r="B1211" s="97"/>
      <c r="C1211" s="84"/>
      <c r="D1211" s="84"/>
      <c r="E1211" s="84"/>
      <c r="F1211" s="84"/>
    </row>
    <row r="1212" spans="1:6" x14ac:dyDescent="0.25">
      <c r="A1212" s="84"/>
      <c r="B1212" s="97"/>
      <c r="C1212" s="84"/>
      <c r="D1212" s="84"/>
      <c r="E1212" s="84"/>
      <c r="F1212" s="84"/>
    </row>
    <row r="1213" spans="1:6" x14ac:dyDescent="0.25">
      <c r="A1213" s="84"/>
      <c r="B1213" s="97"/>
      <c r="C1213" s="84"/>
      <c r="D1213" s="84"/>
      <c r="E1213" s="84"/>
      <c r="F1213" s="84"/>
    </row>
    <row r="1214" spans="1:6" x14ac:dyDescent="0.25">
      <c r="A1214" s="84"/>
      <c r="B1214" s="97"/>
      <c r="C1214" s="84"/>
      <c r="D1214" s="84"/>
      <c r="E1214" s="84"/>
      <c r="F1214" s="84"/>
    </row>
    <row r="1215" spans="1:6" x14ac:dyDescent="0.25">
      <c r="A1215" s="84"/>
      <c r="B1215" s="97"/>
      <c r="C1215" s="84"/>
      <c r="D1215" s="84"/>
      <c r="E1215" s="84"/>
      <c r="F1215" s="84"/>
    </row>
    <row r="1216" spans="1:6" x14ac:dyDescent="0.25">
      <c r="A1216" s="84"/>
      <c r="B1216" s="97"/>
      <c r="C1216" s="84"/>
      <c r="D1216" s="84"/>
      <c r="E1216" s="84"/>
      <c r="F1216" s="84"/>
    </row>
    <row r="1217" spans="1:6" x14ac:dyDescent="0.25">
      <c r="A1217" s="84"/>
      <c r="B1217" s="97"/>
      <c r="C1217" s="84"/>
      <c r="D1217" s="84"/>
      <c r="E1217" s="84"/>
      <c r="F1217" s="84"/>
    </row>
    <row r="1218" spans="1:6" x14ac:dyDescent="0.25">
      <c r="A1218" s="84"/>
      <c r="B1218" s="97"/>
      <c r="C1218" s="84"/>
      <c r="D1218" s="84"/>
      <c r="E1218" s="84"/>
      <c r="F1218" s="84"/>
    </row>
    <row r="1219" spans="1:6" x14ac:dyDescent="0.25">
      <c r="A1219" s="84"/>
      <c r="B1219" s="97"/>
      <c r="C1219" s="84"/>
      <c r="D1219" s="84"/>
      <c r="E1219" s="84"/>
      <c r="F1219" s="84"/>
    </row>
    <row r="1220" spans="1:6" x14ac:dyDescent="0.25">
      <c r="A1220" s="84"/>
      <c r="B1220" s="97"/>
      <c r="C1220" s="84"/>
      <c r="D1220" s="84"/>
      <c r="E1220" s="84"/>
      <c r="F1220" s="84"/>
    </row>
    <row r="1221" spans="1:6" x14ac:dyDescent="0.25">
      <c r="A1221" s="84"/>
      <c r="B1221" s="97"/>
      <c r="C1221" s="84"/>
      <c r="D1221" s="84"/>
      <c r="E1221" s="84"/>
      <c r="F1221" s="84"/>
    </row>
    <row r="1222" spans="1:6" x14ac:dyDescent="0.25">
      <c r="A1222" s="84"/>
      <c r="B1222" s="97"/>
      <c r="C1222" s="84"/>
      <c r="D1222" s="84"/>
      <c r="E1222" s="84"/>
      <c r="F1222" s="84"/>
    </row>
    <row r="1223" spans="1:6" x14ac:dyDescent="0.25">
      <c r="A1223" s="84"/>
      <c r="B1223" s="97"/>
      <c r="C1223" s="84"/>
      <c r="D1223" s="84"/>
      <c r="E1223" s="84"/>
      <c r="F1223" s="84"/>
    </row>
    <row r="1224" spans="1:6" x14ac:dyDescent="0.25">
      <c r="A1224" s="84"/>
      <c r="B1224" s="97"/>
      <c r="C1224" s="84"/>
      <c r="D1224" s="84"/>
      <c r="E1224" s="84"/>
      <c r="F1224" s="84"/>
    </row>
    <row r="1225" spans="1:6" x14ac:dyDescent="0.25">
      <c r="A1225" s="84"/>
      <c r="B1225" s="97"/>
      <c r="C1225" s="84"/>
      <c r="D1225" s="84"/>
      <c r="E1225" s="84"/>
      <c r="F1225" s="84"/>
    </row>
    <row r="1226" spans="1:6" x14ac:dyDescent="0.25">
      <c r="A1226" s="84"/>
      <c r="B1226" s="97"/>
      <c r="C1226" s="84"/>
      <c r="D1226" s="84"/>
      <c r="E1226" s="84"/>
      <c r="F1226" s="84"/>
    </row>
    <row r="1227" spans="1:6" x14ac:dyDescent="0.25">
      <c r="A1227" s="84"/>
      <c r="B1227" s="97"/>
      <c r="C1227" s="84"/>
      <c r="D1227" s="84"/>
      <c r="E1227" s="84"/>
      <c r="F1227" s="84"/>
    </row>
    <row r="1228" spans="1:6" x14ac:dyDescent="0.25">
      <c r="A1228" s="84"/>
      <c r="B1228" s="97"/>
      <c r="C1228" s="84"/>
      <c r="D1228" s="84"/>
      <c r="E1228" s="84"/>
      <c r="F1228" s="84"/>
    </row>
    <row r="1229" spans="1:6" x14ac:dyDescent="0.25">
      <c r="A1229" s="84"/>
      <c r="B1229" s="97"/>
      <c r="C1229" s="84"/>
      <c r="D1229" s="84"/>
      <c r="E1229" s="84"/>
      <c r="F1229" s="84"/>
    </row>
    <row r="1230" spans="1:6" x14ac:dyDescent="0.25">
      <c r="A1230" s="84"/>
      <c r="B1230" s="97"/>
      <c r="C1230" s="84"/>
      <c r="D1230" s="84"/>
      <c r="E1230" s="84"/>
      <c r="F1230" s="84"/>
    </row>
    <row r="1231" spans="1:6" x14ac:dyDescent="0.25">
      <c r="A1231" s="84"/>
      <c r="B1231" s="97"/>
      <c r="C1231" s="84"/>
      <c r="D1231" s="84"/>
      <c r="E1231" s="84"/>
      <c r="F1231" s="84"/>
    </row>
    <row r="1232" spans="1:6" x14ac:dyDescent="0.25">
      <c r="A1232" s="84"/>
      <c r="B1232" s="97"/>
      <c r="C1232" s="84"/>
      <c r="D1232" s="84"/>
      <c r="E1232" s="84"/>
      <c r="F1232" s="84"/>
    </row>
    <row r="1233" spans="1:6" x14ac:dyDescent="0.25">
      <c r="A1233" s="84"/>
      <c r="B1233" s="97"/>
      <c r="C1233" s="84"/>
      <c r="D1233" s="84"/>
      <c r="E1233" s="84"/>
      <c r="F1233" s="84"/>
    </row>
    <row r="1234" spans="1:6" x14ac:dyDescent="0.25">
      <c r="A1234" s="84"/>
      <c r="B1234" s="97"/>
      <c r="C1234" s="84"/>
      <c r="D1234" s="84"/>
      <c r="E1234" s="84"/>
      <c r="F1234" s="84"/>
    </row>
    <row r="1235" spans="1:6" x14ac:dyDescent="0.25">
      <c r="A1235" s="84"/>
      <c r="B1235" s="97"/>
      <c r="C1235" s="84"/>
      <c r="D1235" s="84"/>
      <c r="E1235" s="84"/>
      <c r="F1235" s="84"/>
    </row>
    <row r="1236" spans="1:6" x14ac:dyDescent="0.25">
      <c r="A1236" s="84"/>
      <c r="B1236" s="97"/>
      <c r="C1236" s="84"/>
      <c r="D1236" s="84"/>
      <c r="E1236" s="84"/>
      <c r="F1236" s="84"/>
    </row>
    <row r="1237" spans="1:6" x14ac:dyDescent="0.25">
      <c r="A1237" s="84"/>
      <c r="B1237" s="97"/>
      <c r="C1237" s="84"/>
      <c r="D1237" s="84"/>
      <c r="E1237" s="84"/>
      <c r="F1237" s="84"/>
    </row>
    <row r="1238" spans="1:6" x14ac:dyDescent="0.25">
      <c r="A1238" s="84"/>
      <c r="B1238" s="97"/>
      <c r="C1238" s="84"/>
      <c r="D1238" s="84"/>
      <c r="E1238" s="84"/>
      <c r="F1238" s="84"/>
    </row>
    <row r="1239" spans="1:6" x14ac:dyDescent="0.25">
      <c r="A1239" s="84"/>
      <c r="B1239" s="97"/>
      <c r="C1239" s="84"/>
      <c r="D1239" s="84"/>
      <c r="E1239" s="84"/>
      <c r="F1239" s="84"/>
    </row>
    <row r="1240" spans="1:6" x14ac:dyDescent="0.25">
      <c r="A1240" s="84"/>
      <c r="B1240" s="97"/>
      <c r="C1240" s="84"/>
      <c r="D1240" s="84"/>
      <c r="E1240" s="84"/>
      <c r="F1240" s="84"/>
    </row>
    <row r="1241" spans="1:6" x14ac:dyDescent="0.25">
      <c r="A1241" s="84"/>
      <c r="B1241" s="97"/>
      <c r="C1241" s="84"/>
      <c r="D1241" s="84"/>
      <c r="E1241" s="84"/>
      <c r="F1241" s="84"/>
    </row>
    <row r="1242" spans="1:6" x14ac:dyDescent="0.25">
      <c r="A1242" s="84"/>
      <c r="B1242" s="97"/>
      <c r="C1242" s="84"/>
      <c r="D1242" s="84"/>
      <c r="E1242" s="84"/>
      <c r="F1242" s="84"/>
    </row>
    <row r="1243" spans="1:6" x14ac:dyDescent="0.25">
      <c r="A1243" s="84"/>
      <c r="B1243" s="97"/>
      <c r="C1243" s="84"/>
      <c r="D1243" s="84"/>
      <c r="E1243" s="84"/>
      <c r="F1243" s="84"/>
    </row>
    <row r="1244" spans="1:6" x14ac:dyDescent="0.25">
      <c r="A1244" s="84"/>
      <c r="B1244" s="97"/>
      <c r="C1244" s="84"/>
      <c r="D1244" s="84"/>
      <c r="E1244" s="84"/>
      <c r="F1244" s="84"/>
    </row>
    <row r="1245" spans="1:6" x14ac:dyDescent="0.25">
      <c r="A1245" s="84"/>
      <c r="B1245" s="97"/>
      <c r="C1245" s="84"/>
      <c r="D1245" s="84"/>
      <c r="E1245" s="84"/>
      <c r="F1245" s="84"/>
    </row>
    <row r="1246" spans="1:6" x14ac:dyDescent="0.25">
      <c r="A1246" s="84"/>
      <c r="B1246" s="97"/>
      <c r="C1246" s="84"/>
      <c r="D1246" s="84"/>
      <c r="E1246" s="84"/>
      <c r="F1246" s="84"/>
    </row>
    <row r="1247" spans="1:6" x14ac:dyDescent="0.25">
      <c r="A1247" s="84"/>
      <c r="B1247" s="97"/>
      <c r="C1247" s="84"/>
      <c r="D1247" s="84"/>
      <c r="E1247" s="84"/>
      <c r="F1247" s="84"/>
    </row>
    <row r="1248" spans="1:6" x14ac:dyDescent="0.25">
      <c r="A1248" s="84"/>
      <c r="B1248" s="97"/>
      <c r="C1248" s="84"/>
      <c r="D1248" s="84"/>
      <c r="E1248" s="84"/>
      <c r="F1248" s="84"/>
    </row>
    <row r="1249" spans="1:6" x14ac:dyDescent="0.25">
      <c r="A1249" s="84"/>
      <c r="B1249" s="97"/>
      <c r="C1249" s="84"/>
      <c r="D1249" s="84"/>
      <c r="E1249" s="84"/>
      <c r="F1249" s="84"/>
    </row>
    <row r="1250" spans="1:6" x14ac:dyDescent="0.25">
      <c r="A1250" s="84"/>
      <c r="B1250" s="97"/>
      <c r="C1250" s="84"/>
      <c r="D1250" s="84"/>
      <c r="E1250" s="84"/>
      <c r="F1250" s="84"/>
    </row>
    <row r="1251" spans="1:6" x14ac:dyDescent="0.25">
      <c r="A1251" s="84"/>
      <c r="B1251" s="97"/>
      <c r="C1251" s="84"/>
      <c r="D1251" s="84"/>
      <c r="E1251" s="84"/>
      <c r="F1251" s="84"/>
    </row>
    <row r="1252" spans="1:6" x14ac:dyDescent="0.25">
      <c r="A1252" s="84"/>
      <c r="B1252" s="97"/>
      <c r="C1252" s="84"/>
      <c r="D1252" s="84"/>
      <c r="E1252" s="84"/>
      <c r="F1252" s="84"/>
    </row>
    <row r="1253" spans="1:6" x14ac:dyDescent="0.25">
      <c r="A1253" s="84"/>
      <c r="B1253" s="97"/>
      <c r="C1253" s="84"/>
      <c r="D1253" s="84"/>
      <c r="E1253" s="84"/>
      <c r="F1253" s="84"/>
    </row>
    <row r="1254" spans="1:6" x14ac:dyDescent="0.25">
      <c r="A1254" s="84"/>
      <c r="B1254" s="97"/>
      <c r="C1254" s="84"/>
      <c r="D1254" s="84"/>
      <c r="E1254" s="84"/>
      <c r="F1254" s="84"/>
    </row>
    <row r="1255" spans="1:6" x14ac:dyDescent="0.25">
      <c r="A1255" s="84"/>
      <c r="B1255" s="97"/>
      <c r="C1255" s="84"/>
      <c r="D1255" s="84"/>
      <c r="E1255" s="84"/>
      <c r="F1255" s="84"/>
    </row>
    <row r="1256" spans="1:6" x14ac:dyDescent="0.25">
      <c r="A1256" s="84"/>
      <c r="B1256" s="97"/>
      <c r="C1256" s="84"/>
      <c r="D1256" s="84"/>
      <c r="E1256" s="84"/>
      <c r="F1256" s="84"/>
    </row>
    <row r="1257" spans="1:6" x14ac:dyDescent="0.25">
      <c r="A1257" s="84"/>
      <c r="B1257" s="97"/>
      <c r="C1257" s="84"/>
      <c r="D1257" s="84"/>
      <c r="E1257" s="84"/>
      <c r="F1257" s="84"/>
    </row>
    <row r="1258" spans="1:6" x14ac:dyDescent="0.25">
      <c r="A1258" s="84"/>
      <c r="B1258" s="97"/>
      <c r="C1258" s="84"/>
      <c r="D1258" s="84"/>
      <c r="E1258" s="84"/>
      <c r="F1258" s="84"/>
    </row>
    <row r="1259" spans="1:6" x14ac:dyDescent="0.25">
      <c r="A1259" s="84"/>
      <c r="B1259" s="97"/>
      <c r="C1259" s="84"/>
      <c r="D1259" s="84"/>
      <c r="E1259" s="84"/>
      <c r="F1259" s="84"/>
    </row>
    <row r="1260" spans="1:6" x14ac:dyDescent="0.25">
      <c r="A1260" s="84"/>
      <c r="B1260" s="97"/>
      <c r="C1260" s="84"/>
      <c r="D1260" s="84"/>
      <c r="E1260" s="84"/>
      <c r="F1260" s="84"/>
    </row>
    <row r="1261" spans="1:6" x14ac:dyDescent="0.25">
      <c r="A1261" s="84"/>
      <c r="B1261" s="97"/>
      <c r="C1261" s="84"/>
      <c r="D1261" s="84"/>
      <c r="E1261" s="84"/>
      <c r="F1261" s="84"/>
    </row>
    <row r="1262" spans="1:6" x14ac:dyDescent="0.25">
      <c r="A1262" s="84"/>
      <c r="B1262" s="97"/>
      <c r="C1262" s="84"/>
      <c r="D1262" s="84"/>
      <c r="E1262" s="84"/>
      <c r="F1262" s="84"/>
    </row>
    <row r="1263" spans="1:6" x14ac:dyDescent="0.25">
      <c r="A1263" s="84"/>
      <c r="B1263" s="97"/>
      <c r="C1263" s="84"/>
      <c r="D1263" s="84"/>
      <c r="E1263" s="84"/>
      <c r="F1263" s="84"/>
    </row>
    <row r="1264" spans="1:6" x14ac:dyDescent="0.25">
      <c r="A1264" s="84"/>
      <c r="B1264" s="97"/>
      <c r="C1264" s="84"/>
      <c r="D1264" s="84"/>
      <c r="E1264" s="84"/>
      <c r="F1264" s="84"/>
    </row>
    <row r="1265" spans="1:6" x14ac:dyDescent="0.25">
      <c r="A1265" s="84"/>
      <c r="B1265" s="97"/>
      <c r="C1265" s="84"/>
      <c r="D1265" s="84"/>
      <c r="E1265" s="84"/>
      <c r="F1265" s="84"/>
    </row>
    <row r="1266" spans="1:6" x14ac:dyDescent="0.25">
      <c r="A1266" s="84"/>
      <c r="B1266" s="97"/>
      <c r="C1266" s="84"/>
      <c r="D1266" s="84"/>
      <c r="E1266" s="84"/>
      <c r="F1266" s="84"/>
    </row>
    <row r="1267" spans="1:6" x14ac:dyDescent="0.25">
      <c r="A1267" s="84"/>
      <c r="B1267" s="97"/>
      <c r="C1267" s="84"/>
      <c r="D1267" s="84"/>
      <c r="E1267" s="84"/>
      <c r="F1267" s="84"/>
    </row>
    <row r="1268" spans="1:6" x14ac:dyDescent="0.25">
      <c r="A1268" s="84"/>
      <c r="B1268" s="97"/>
      <c r="C1268" s="84"/>
      <c r="D1268" s="84"/>
      <c r="E1268" s="84"/>
      <c r="F1268" s="84"/>
    </row>
    <row r="1269" spans="1:6" x14ac:dyDescent="0.25">
      <c r="A1269" s="84"/>
      <c r="B1269" s="97"/>
      <c r="C1269" s="84"/>
      <c r="D1269" s="84"/>
      <c r="E1269" s="84"/>
      <c r="F1269" s="84"/>
    </row>
    <row r="1270" spans="1:6" x14ac:dyDescent="0.25">
      <c r="A1270" s="84"/>
      <c r="B1270" s="97"/>
      <c r="C1270" s="84"/>
      <c r="D1270" s="84"/>
      <c r="E1270" s="84"/>
      <c r="F1270" s="84"/>
    </row>
    <row r="1271" spans="1:6" x14ac:dyDescent="0.25">
      <c r="A1271" s="84"/>
      <c r="B1271" s="97"/>
      <c r="C1271" s="84"/>
      <c r="D1271" s="84"/>
      <c r="E1271" s="84"/>
      <c r="F1271" s="84"/>
    </row>
    <row r="1272" spans="1:6" x14ac:dyDescent="0.25">
      <c r="A1272" s="84"/>
      <c r="B1272" s="97"/>
      <c r="C1272" s="84"/>
      <c r="D1272" s="84"/>
      <c r="E1272" s="84"/>
      <c r="F1272" s="84"/>
    </row>
    <row r="1273" spans="1:6" x14ac:dyDescent="0.25">
      <c r="A1273" s="84"/>
      <c r="B1273" s="97"/>
      <c r="C1273" s="84"/>
      <c r="D1273" s="84"/>
      <c r="E1273" s="84"/>
      <c r="F1273" s="84"/>
    </row>
    <row r="1274" spans="1:6" x14ac:dyDescent="0.25">
      <c r="A1274" s="84"/>
      <c r="B1274" s="97"/>
      <c r="C1274" s="84"/>
      <c r="D1274" s="84"/>
      <c r="E1274" s="84"/>
      <c r="F1274" s="84"/>
    </row>
    <row r="1275" spans="1:6" x14ac:dyDescent="0.25">
      <c r="A1275" s="84"/>
      <c r="B1275" s="97"/>
      <c r="C1275" s="84"/>
      <c r="D1275" s="84"/>
      <c r="E1275" s="84"/>
      <c r="F1275" s="84"/>
    </row>
    <row r="1276" spans="1:6" x14ac:dyDescent="0.25">
      <c r="A1276" s="84"/>
      <c r="B1276" s="97"/>
      <c r="C1276" s="84"/>
      <c r="D1276" s="84"/>
      <c r="E1276" s="84"/>
      <c r="F1276" s="84"/>
    </row>
    <row r="1277" spans="1:6" x14ac:dyDescent="0.25">
      <c r="A1277" s="84"/>
      <c r="B1277" s="97"/>
      <c r="C1277" s="84"/>
      <c r="D1277" s="84"/>
      <c r="E1277" s="84"/>
      <c r="F1277" s="84"/>
    </row>
    <row r="1278" spans="1:6" x14ac:dyDescent="0.25">
      <c r="A1278" s="84"/>
      <c r="B1278" s="97"/>
      <c r="C1278" s="84"/>
      <c r="D1278" s="84"/>
      <c r="E1278" s="84"/>
      <c r="F1278" s="84"/>
    </row>
    <row r="1279" spans="1:6" x14ac:dyDescent="0.25">
      <c r="A1279" s="84"/>
      <c r="B1279" s="97"/>
      <c r="C1279" s="84"/>
      <c r="D1279" s="84"/>
      <c r="E1279" s="84"/>
      <c r="F1279" s="84"/>
    </row>
    <row r="1280" spans="1:6" x14ac:dyDescent="0.25">
      <c r="A1280" s="84"/>
      <c r="B1280" s="97"/>
      <c r="C1280" s="84"/>
      <c r="D1280" s="84"/>
      <c r="E1280" s="84"/>
      <c r="F1280" s="84"/>
    </row>
    <row r="1281" spans="1:6" x14ac:dyDescent="0.25">
      <c r="A1281" s="84"/>
      <c r="B1281" s="97"/>
      <c r="C1281" s="84"/>
      <c r="D1281" s="84"/>
      <c r="E1281" s="84"/>
      <c r="F1281" s="84"/>
    </row>
    <row r="1282" spans="1:6" x14ac:dyDescent="0.25">
      <c r="A1282" s="84"/>
      <c r="B1282" s="97"/>
      <c r="C1282" s="84"/>
      <c r="D1282" s="84"/>
      <c r="E1282" s="84"/>
      <c r="F1282" s="84"/>
    </row>
    <row r="1283" spans="1:6" x14ac:dyDescent="0.25">
      <c r="A1283" s="84"/>
      <c r="B1283" s="97"/>
      <c r="C1283" s="84"/>
      <c r="D1283" s="84"/>
      <c r="E1283" s="84"/>
      <c r="F1283" s="84"/>
    </row>
    <row r="1284" spans="1:6" x14ac:dyDescent="0.25">
      <c r="A1284" s="84"/>
      <c r="B1284" s="97"/>
      <c r="C1284" s="84"/>
      <c r="D1284" s="84"/>
      <c r="E1284" s="84"/>
      <c r="F1284" s="84"/>
    </row>
    <row r="1285" spans="1:6" x14ac:dyDescent="0.25">
      <c r="A1285" s="84"/>
      <c r="B1285" s="97"/>
      <c r="C1285" s="84"/>
      <c r="D1285" s="84"/>
      <c r="E1285" s="84"/>
      <c r="F1285" s="84"/>
    </row>
    <row r="1286" spans="1:6" x14ac:dyDescent="0.25">
      <c r="A1286" s="84"/>
      <c r="B1286" s="97"/>
      <c r="C1286" s="84"/>
      <c r="D1286" s="84"/>
      <c r="E1286" s="84"/>
      <c r="F1286" s="84"/>
    </row>
    <row r="1287" spans="1:6" x14ac:dyDescent="0.25">
      <c r="A1287" s="84"/>
      <c r="B1287" s="97"/>
      <c r="C1287" s="84"/>
      <c r="D1287" s="84"/>
      <c r="E1287" s="84"/>
      <c r="F1287" s="84"/>
    </row>
    <row r="1288" spans="1:6" x14ac:dyDescent="0.25">
      <c r="A1288" s="84"/>
      <c r="B1288" s="97"/>
      <c r="C1288" s="84"/>
      <c r="D1288" s="84"/>
      <c r="E1288" s="84"/>
      <c r="F1288" s="84"/>
    </row>
    <row r="1289" spans="1:6" x14ac:dyDescent="0.25">
      <c r="A1289" s="84"/>
      <c r="B1289" s="97"/>
      <c r="C1289" s="84"/>
      <c r="D1289" s="84"/>
      <c r="E1289" s="84"/>
      <c r="F1289" s="84"/>
    </row>
    <row r="1290" spans="1:6" x14ac:dyDescent="0.25">
      <c r="A1290" s="84"/>
      <c r="B1290" s="97"/>
      <c r="C1290" s="84"/>
      <c r="D1290" s="84"/>
      <c r="E1290" s="84"/>
      <c r="F1290" s="84"/>
    </row>
    <row r="1291" spans="1:6" x14ac:dyDescent="0.25">
      <c r="A1291" s="84"/>
      <c r="B1291" s="97"/>
      <c r="C1291" s="84"/>
      <c r="D1291" s="84"/>
      <c r="E1291" s="84"/>
      <c r="F1291" s="84"/>
    </row>
    <row r="1292" spans="1:6" x14ac:dyDescent="0.25">
      <c r="A1292" s="84"/>
      <c r="B1292" s="97"/>
      <c r="C1292" s="84"/>
      <c r="D1292" s="84"/>
      <c r="E1292" s="84"/>
      <c r="F1292" s="84"/>
    </row>
    <row r="1293" spans="1:6" x14ac:dyDescent="0.25">
      <c r="A1293" s="84"/>
      <c r="B1293" s="97"/>
      <c r="C1293" s="84"/>
      <c r="D1293" s="84"/>
      <c r="E1293" s="84"/>
      <c r="F1293" s="84"/>
    </row>
    <row r="1294" spans="1:6" x14ac:dyDescent="0.25">
      <c r="A1294" s="84"/>
      <c r="B1294" s="97"/>
      <c r="C1294" s="84"/>
      <c r="D1294" s="84"/>
      <c r="E1294" s="84"/>
      <c r="F1294" s="84"/>
    </row>
    <row r="1295" spans="1:6" x14ac:dyDescent="0.25">
      <c r="A1295" s="84"/>
      <c r="B1295" s="97"/>
      <c r="C1295" s="84"/>
      <c r="D1295" s="84"/>
      <c r="E1295" s="84"/>
      <c r="F1295" s="84"/>
    </row>
    <row r="1296" spans="1:6" x14ac:dyDescent="0.25">
      <c r="A1296" s="84"/>
      <c r="B1296" s="97"/>
      <c r="C1296" s="84"/>
      <c r="D1296" s="84"/>
      <c r="E1296" s="84"/>
      <c r="F1296" s="84"/>
    </row>
    <row r="1297" spans="1:6" x14ac:dyDescent="0.25">
      <c r="A1297" s="84"/>
      <c r="B1297" s="97"/>
      <c r="C1297" s="84"/>
      <c r="D1297" s="84"/>
      <c r="E1297" s="84"/>
      <c r="F1297" s="84"/>
    </row>
    <row r="1298" spans="1:6" x14ac:dyDescent="0.25">
      <c r="A1298" s="84"/>
      <c r="B1298" s="97"/>
      <c r="C1298" s="84"/>
      <c r="D1298" s="84"/>
      <c r="E1298" s="84"/>
      <c r="F1298" s="84"/>
    </row>
    <row r="1299" spans="1:6" x14ac:dyDescent="0.25">
      <c r="A1299" s="84"/>
      <c r="B1299" s="97"/>
      <c r="C1299" s="84"/>
      <c r="D1299" s="84"/>
      <c r="E1299" s="84"/>
      <c r="F1299" s="84"/>
    </row>
    <row r="1300" spans="1:6" x14ac:dyDescent="0.25">
      <c r="A1300" s="84"/>
      <c r="B1300" s="97"/>
      <c r="C1300" s="84"/>
      <c r="D1300" s="84"/>
      <c r="E1300" s="84"/>
      <c r="F1300" s="84"/>
    </row>
    <row r="1301" spans="1:6" x14ac:dyDescent="0.25">
      <c r="A1301" s="84"/>
      <c r="B1301" s="97"/>
      <c r="C1301" s="84"/>
      <c r="D1301" s="84"/>
      <c r="E1301" s="84"/>
      <c r="F1301" s="84"/>
    </row>
    <row r="1302" spans="1:6" x14ac:dyDescent="0.25">
      <c r="A1302" s="84"/>
      <c r="B1302" s="97"/>
      <c r="C1302" s="84"/>
      <c r="D1302" s="84"/>
      <c r="E1302" s="84"/>
      <c r="F1302" s="84"/>
    </row>
    <row r="1303" spans="1:6" x14ac:dyDescent="0.25">
      <c r="A1303" s="84"/>
      <c r="B1303" s="97"/>
      <c r="C1303" s="84"/>
      <c r="D1303" s="84"/>
      <c r="E1303" s="84"/>
      <c r="F1303" s="84"/>
    </row>
    <row r="1304" spans="1:6" x14ac:dyDescent="0.25">
      <c r="A1304" s="84"/>
      <c r="B1304" s="97"/>
      <c r="C1304" s="84"/>
      <c r="D1304" s="84"/>
      <c r="E1304" s="84"/>
      <c r="F1304" s="84"/>
    </row>
    <row r="1305" spans="1:6" x14ac:dyDescent="0.25">
      <c r="A1305" s="84"/>
      <c r="B1305" s="97"/>
      <c r="C1305" s="84"/>
      <c r="D1305" s="84"/>
      <c r="E1305" s="84"/>
      <c r="F1305" s="84"/>
    </row>
    <row r="1306" spans="1:6" x14ac:dyDescent="0.25">
      <c r="A1306" s="84"/>
      <c r="B1306" s="97"/>
      <c r="C1306" s="84"/>
      <c r="D1306" s="84"/>
      <c r="E1306" s="84"/>
      <c r="F1306" s="84"/>
    </row>
    <row r="1307" spans="1:6" x14ac:dyDescent="0.25">
      <c r="A1307" s="84"/>
      <c r="B1307" s="97"/>
      <c r="C1307" s="84"/>
      <c r="D1307" s="84"/>
      <c r="E1307" s="84"/>
      <c r="F1307" s="84"/>
    </row>
    <row r="1308" spans="1:6" x14ac:dyDescent="0.25">
      <c r="A1308" s="84"/>
      <c r="B1308" s="97"/>
      <c r="C1308" s="84"/>
      <c r="D1308" s="84"/>
      <c r="E1308" s="84"/>
      <c r="F1308" s="84"/>
    </row>
    <row r="1309" spans="1:6" x14ac:dyDescent="0.25">
      <c r="A1309" s="84"/>
      <c r="B1309" s="97"/>
      <c r="C1309" s="84"/>
      <c r="D1309" s="84"/>
      <c r="E1309" s="84"/>
      <c r="F1309" s="84"/>
    </row>
    <row r="1310" spans="1:6" x14ac:dyDescent="0.25">
      <c r="A1310" s="84"/>
      <c r="B1310" s="97"/>
      <c r="C1310" s="84"/>
      <c r="D1310" s="84"/>
      <c r="E1310" s="84"/>
      <c r="F1310" s="84"/>
    </row>
    <row r="1311" spans="1:6" x14ac:dyDescent="0.25">
      <c r="A1311" s="84"/>
      <c r="B1311" s="97"/>
      <c r="C1311" s="84"/>
      <c r="D1311" s="84"/>
      <c r="E1311" s="84"/>
      <c r="F1311" s="84"/>
    </row>
    <row r="1312" spans="1:6" x14ac:dyDescent="0.25">
      <c r="A1312" s="84"/>
      <c r="B1312" s="97"/>
      <c r="C1312" s="84"/>
      <c r="D1312" s="84"/>
      <c r="E1312" s="84"/>
      <c r="F1312" s="84"/>
    </row>
    <row r="1313" spans="1:6" x14ac:dyDescent="0.25">
      <c r="A1313" s="84"/>
      <c r="B1313" s="97"/>
      <c r="C1313" s="84"/>
      <c r="D1313" s="84"/>
      <c r="E1313" s="84"/>
      <c r="F1313" s="84"/>
    </row>
    <row r="1314" spans="1:6" x14ac:dyDescent="0.25">
      <c r="A1314" s="84"/>
      <c r="B1314" s="97"/>
      <c r="C1314" s="84"/>
      <c r="D1314" s="84"/>
      <c r="E1314" s="84"/>
      <c r="F1314" s="84"/>
    </row>
    <row r="1315" spans="1:6" x14ac:dyDescent="0.25">
      <c r="A1315" s="84"/>
      <c r="B1315" s="97"/>
      <c r="C1315" s="84"/>
      <c r="D1315" s="84"/>
      <c r="E1315" s="84"/>
      <c r="F1315" s="84"/>
    </row>
    <row r="1316" spans="1:6" x14ac:dyDescent="0.25">
      <c r="A1316" s="84"/>
      <c r="B1316" s="97"/>
      <c r="C1316" s="84"/>
      <c r="D1316" s="84"/>
      <c r="E1316" s="84"/>
      <c r="F1316" s="84"/>
    </row>
    <row r="1317" spans="1:6" x14ac:dyDescent="0.25">
      <c r="A1317" s="84"/>
      <c r="B1317" s="97"/>
      <c r="C1317" s="84"/>
      <c r="D1317" s="84"/>
      <c r="E1317" s="84"/>
      <c r="F1317" s="84"/>
    </row>
    <row r="1318" spans="1:6" x14ac:dyDescent="0.25">
      <c r="A1318" s="84"/>
      <c r="B1318" s="97"/>
      <c r="C1318" s="84"/>
      <c r="D1318" s="84"/>
      <c r="E1318" s="84"/>
      <c r="F1318" s="84"/>
    </row>
    <row r="1319" spans="1:6" x14ac:dyDescent="0.25">
      <c r="A1319" s="84"/>
      <c r="B1319" s="97"/>
      <c r="C1319" s="84"/>
      <c r="D1319" s="84"/>
      <c r="E1319" s="84"/>
      <c r="F1319" s="84"/>
    </row>
    <row r="1320" spans="1:6" x14ac:dyDescent="0.25">
      <c r="A1320" s="84"/>
      <c r="B1320" s="97"/>
      <c r="C1320" s="84"/>
      <c r="D1320" s="84"/>
      <c r="E1320" s="84"/>
      <c r="F1320" s="84"/>
    </row>
    <row r="1321" spans="1:6" x14ac:dyDescent="0.25">
      <c r="A1321" s="84"/>
      <c r="B1321" s="97"/>
      <c r="C1321" s="84"/>
      <c r="D1321" s="84"/>
      <c r="E1321" s="84"/>
      <c r="F1321" s="84"/>
    </row>
    <row r="1322" spans="1:6" x14ac:dyDescent="0.25">
      <c r="A1322" s="84"/>
      <c r="B1322" s="97"/>
      <c r="C1322" s="84"/>
      <c r="D1322" s="84"/>
      <c r="E1322" s="84"/>
      <c r="F1322" s="84"/>
    </row>
    <row r="1323" spans="1:6" x14ac:dyDescent="0.25">
      <c r="A1323" s="84"/>
      <c r="B1323" s="97"/>
      <c r="C1323" s="84"/>
      <c r="D1323" s="84"/>
      <c r="E1323" s="84"/>
      <c r="F1323" s="84"/>
    </row>
    <row r="1324" spans="1:6" x14ac:dyDescent="0.25">
      <c r="A1324" s="84"/>
      <c r="B1324" s="97"/>
      <c r="C1324" s="84"/>
      <c r="D1324" s="84"/>
      <c r="E1324" s="84"/>
      <c r="F1324" s="84"/>
    </row>
    <row r="1325" spans="1:6" x14ac:dyDescent="0.25">
      <c r="A1325" s="84"/>
      <c r="B1325" s="97"/>
      <c r="C1325" s="84"/>
      <c r="D1325" s="84"/>
      <c r="E1325" s="84"/>
      <c r="F1325" s="84"/>
    </row>
    <row r="1326" spans="1:6" x14ac:dyDescent="0.25">
      <c r="A1326" s="84"/>
      <c r="B1326" s="97"/>
      <c r="C1326" s="84"/>
      <c r="D1326" s="84"/>
      <c r="E1326" s="84"/>
      <c r="F1326" s="84"/>
    </row>
    <row r="1327" spans="1:6" x14ac:dyDescent="0.25">
      <c r="A1327" s="84"/>
      <c r="B1327" s="97"/>
      <c r="C1327" s="84"/>
      <c r="D1327" s="84"/>
      <c r="E1327" s="84"/>
      <c r="F1327" s="84"/>
    </row>
    <row r="1328" spans="1:6" x14ac:dyDescent="0.25">
      <c r="A1328" s="84"/>
      <c r="B1328" s="97"/>
      <c r="C1328" s="84"/>
      <c r="D1328" s="84"/>
      <c r="E1328" s="84"/>
      <c r="F1328" s="84"/>
    </row>
    <row r="1329" spans="1:6" x14ac:dyDescent="0.25">
      <c r="A1329" s="84"/>
      <c r="B1329" s="97"/>
      <c r="C1329" s="84"/>
      <c r="D1329" s="84"/>
      <c r="E1329" s="84"/>
      <c r="F1329" s="84"/>
    </row>
    <row r="1330" spans="1:6" x14ac:dyDescent="0.25">
      <c r="A1330" s="84"/>
      <c r="B1330" s="97"/>
      <c r="C1330" s="84"/>
      <c r="D1330" s="84"/>
      <c r="E1330" s="84"/>
      <c r="F1330" s="84"/>
    </row>
    <row r="1331" spans="1:6" x14ac:dyDescent="0.25">
      <c r="A1331" s="84"/>
      <c r="B1331" s="97"/>
      <c r="C1331" s="84"/>
      <c r="D1331" s="84"/>
      <c r="E1331" s="84"/>
      <c r="F1331" s="84"/>
    </row>
    <row r="1332" spans="1:6" x14ac:dyDescent="0.25">
      <c r="A1332" s="84"/>
      <c r="B1332" s="97"/>
      <c r="C1332" s="84"/>
      <c r="D1332" s="84"/>
      <c r="E1332" s="84"/>
      <c r="F1332" s="84"/>
    </row>
    <row r="1333" spans="1:6" x14ac:dyDescent="0.25">
      <c r="A1333" s="84"/>
      <c r="B1333" s="97"/>
      <c r="C1333" s="84"/>
      <c r="D1333" s="84"/>
      <c r="E1333" s="84"/>
      <c r="F1333" s="84"/>
    </row>
    <row r="1334" spans="1:6" x14ac:dyDescent="0.25">
      <c r="A1334" s="84"/>
      <c r="B1334" s="97"/>
      <c r="C1334" s="84"/>
      <c r="D1334" s="84"/>
      <c r="E1334" s="84"/>
      <c r="F1334" s="84"/>
    </row>
    <row r="1335" spans="1:6" x14ac:dyDescent="0.25">
      <c r="A1335" s="84"/>
      <c r="B1335" s="97"/>
      <c r="C1335" s="84"/>
      <c r="D1335" s="84"/>
      <c r="E1335" s="84"/>
      <c r="F1335" s="84"/>
    </row>
    <row r="1336" spans="1:6" x14ac:dyDescent="0.25">
      <c r="A1336" s="84"/>
      <c r="B1336" s="97"/>
      <c r="C1336" s="84"/>
      <c r="D1336" s="84"/>
      <c r="E1336" s="84"/>
      <c r="F1336" s="84"/>
    </row>
    <row r="1337" spans="1:6" x14ac:dyDescent="0.25">
      <c r="A1337" s="84"/>
      <c r="B1337" s="97"/>
      <c r="C1337" s="84"/>
      <c r="D1337" s="84"/>
      <c r="E1337" s="84"/>
      <c r="F1337" s="84"/>
    </row>
    <row r="1338" spans="1:6" x14ac:dyDescent="0.25">
      <c r="A1338" s="84"/>
      <c r="B1338" s="97"/>
      <c r="C1338" s="84"/>
      <c r="D1338" s="84"/>
      <c r="E1338" s="84"/>
      <c r="F1338" s="84"/>
    </row>
    <row r="1339" spans="1:6" x14ac:dyDescent="0.25">
      <c r="A1339" s="84"/>
      <c r="B1339" s="97"/>
      <c r="C1339" s="84"/>
      <c r="D1339" s="84"/>
      <c r="E1339" s="84"/>
      <c r="F1339" s="84"/>
    </row>
    <row r="1340" spans="1:6" x14ac:dyDescent="0.25">
      <c r="A1340" s="84"/>
      <c r="B1340" s="97"/>
      <c r="C1340" s="84"/>
      <c r="D1340" s="84"/>
      <c r="E1340" s="84"/>
      <c r="F1340" s="84"/>
    </row>
    <row r="1341" spans="1:6" x14ac:dyDescent="0.25">
      <c r="A1341" s="84"/>
      <c r="B1341" s="97"/>
      <c r="C1341" s="84"/>
      <c r="D1341" s="84"/>
      <c r="E1341" s="84"/>
      <c r="F1341" s="84"/>
    </row>
    <row r="1342" spans="1:6" x14ac:dyDescent="0.25">
      <c r="A1342" s="84"/>
      <c r="B1342" s="97"/>
      <c r="C1342" s="84"/>
      <c r="D1342" s="84"/>
      <c r="E1342" s="84"/>
      <c r="F1342" s="84"/>
    </row>
    <row r="1343" spans="1:6" x14ac:dyDescent="0.25">
      <c r="A1343" s="84"/>
      <c r="B1343" s="97"/>
      <c r="C1343" s="84"/>
      <c r="D1343" s="84"/>
      <c r="E1343" s="84"/>
      <c r="F1343" s="84"/>
    </row>
    <row r="1344" spans="1:6" x14ac:dyDescent="0.25">
      <c r="A1344" s="84"/>
      <c r="B1344" s="97"/>
      <c r="C1344" s="84"/>
      <c r="D1344" s="84"/>
      <c r="E1344" s="84"/>
      <c r="F1344" s="84"/>
    </row>
    <row r="1345" spans="1:6" x14ac:dyDescent="0.25">
      <c r="A1345" s="84"/>
      <c r="B1345" s="97"/>
      <c r="C1345" s="84"/>
      <c r="D1345" s="84"/>
      <c r="E1345" s="84"/>
      <c r="F1345" s="84"/>
    </row>
    <row r="1346" spans="1:6" x14ac:dyDescent="0.25">
      <c r="A1346" s="84"/>
      <c r="B1346" s="97"/>
      <c r="C1346" s="84"/>
      <c r="D1346" s="84"/>
      <c r="E1346" s="84"/>
      <c r="F1346" s="84"/>
    </row>
    <row r="1347" spans="1:6" x14ac:dyDescent="0.25">
      <c r="A1347" s="84"/>
      <c r="B1347" s="97"/>
      <c r="C1347" s="84"/>
      <c r="D1347" s="84"/>
      <c r="E1347" s="84"/>
      <c r="F1347" s="84"/>
    </row>
    <row r="1348" spans="1:6" x14ac:dyDescent="0.25">
      <c r="A1348" s="84"/>
      <c r="B1348" s="97"/>
      <c r="C1348" s="84"/>
      <c r="D1348" s="84"/>
      <c r="E1348" s="84"/>
      <c r="F1348" s="84"/>
    </row>
    <row r="1349" spans="1:6" x14ac:dyDescent="0.25">
      <c r="A1349" s="84"/>
      <c r="B1349" s="97"/>
      <c r="C1349" s="84"/>
      <c r="D1349" s="84"/>
      <c r="E1349" s="84"/>
      <c r="F1349" s="84"/>
    </row>
    <row r="1350" spans="1:6" x14ac:dyDescent="0.25">
      <c r="A1350" s="84"/>
      <c r="B1350" s="97"/>
      <c r="C1350" s="84"/>
      <c r="D1350" s="84"/>
      <c r="E1350" s="84"/>
      <c r="F1350" s="84"/>
    </row>
    <row r="1351" spans="1:6" x14ac:dyDescent="0.25">
      <c r="A1351" s="84"/>
      <c r="B1351" s="97"/>
      <c r="C1351" s="84"/>
      <c r="D1351" s="84"/>
      <c r="E1351" s="84"/>
      <c r="F1351" s="84"/>
    </row>
    <row r="1352" spans="1:6" x14ac:dyDescent="0.25">
      <c r="A1352" s="84"/>
      <c r="B1352" s="97"/>
      <c r="C1352" s="84"/>
      <c r="D1352" s="84"/>
      <c r="E1352" s="84"/>
      <c r="F1352" s="84"/>
    </row>
    <row r="1353" spans="1:6" x14ac:dyDescent="0.25">
      <c r="A1353" s="84"/>
      <c r="B1353" s="97"/>
      <c r="C1353" s="84"/>
      <c r="D1353" s="84"/>
      <c r="E1353" s="84"/>
      <c r="F1353" s="84"/>
    </row>
    <row r="1354" spans="1:6" x14ac:dyDescent="0.25">
      <c r="A1354" s="84"/>
      <c r="B1354" s="97"/>
      <c r="C1354" s="84"/>
      <c r="D1354" s="84"/>
      <c r="E1354" s="84"/>
      <c r="F1354" s="84"/>
    </row>
    <row r="1355" spans="1:6" x14ac:dyDescent="0.25">
      <c r="A1355" s="84"/>
      <c r="B1355" s="97"/>
      <c r="C1355" s="84"/>
      <c r="D1355" s="84"/>
      <c r="E1355" s="84"/>
      <c r="F1355" s="84"/>
    </row>
    <row r="1356" spans="1:6" x14ac:dyDescent="0.25">
      <c r="A1356" s="84"/>
      <c r="B1356" s="97"/>
      <c r="C1356" s="84"/>
      <c r="D1356" s="84"/>
      <c r="E1356" s="84"/>
      <c r="F1356" s="84"/>
    </row>
    <row r="1357" spans="1:6" x14ac:dyDescent="0.25">
      <c r="A1357" s="84"/>
      <c r="B1357" s="97"/>
      <c r="C1357" s="84"/>
      <c r="D1357" s="84"/>
      <c r="E1357" s="84"/>
      <c r="F1357" s="84"/>
    </row>
    <row r="1358" spans="1:6" x14ac:dyDescent="0.25">
      <c r="A1358" s="84"/>
      <c r="B1358" s="97"/>
      <c r="C1358" s="84"/>
      <c r="D1358" s="84"/>
      <c r="E1358" s="84"/>
      <c r="F1358" s="84"/>
    </row>
    <row r="1359" spans="1:6" x14ac:dyDescent="0.25">
      <c r="A1359" s="84"/>
      <c r="B1359" s="97"/>
      <c r="C1359" s="84"/>
      <c r="D1359" s="84"/>
      <c r="E1359" s="84"/>
      <c r="F1359" s="84"/>
    </row>
    <row r="1360" spans="1:6" x14ac:dyDescent="0.25">
      <c r="A1360" s="84"/>
      <c r="B1360" s="97"/>
      <c r="C1360" s="84"/>
      <c r="D1360" s="84"/>
      <c r="E1360" s="84"/>
      <c r="F1360" s="84"/>
    </row>
    <row r="1361" spans="1:6" x14ac:dyDescent="0.25">
      <c r="A1361" s="84"/>
      <c r="B1361" s="97"/>
      <c r="C1361" s="84"/>
      <c r="D1361" s="84"/>
      <c r="E1361" s="84"/>
      <c r="F1361" s="84"/>
    </row>
    <row r="1362" spans="1:6" x14ac:dyDescent="0.25">
      <c r="A1362" s="84"/>
      <c r="B1362" s="97"/>
      <c r="C1362" s="84"/>
      <c r="D1362" s="84"/>
      <c r="E1362" s="84"/>
      <c r="F1362" s="84"/>
    </row>
    <row r="1363" spans="1:6" x14ac:dyDescent="0.25">
      <c r="A1363" s="84"/>
      <c r="B1363" s="97"/>
      <c r="C1363" s="84"/>
      <c r="D1363" s="84"/>
      <c r="E1363" s="84"/>
      <c r="F1363" s="84"/>
    </row>
    <row r="1364" spans="1:6" x14ac:dyDescent="0.25">
      <c r="A1364" s="84"/>
      <c r="B1364" s="97"/>
      <c r="C1364" s="84"/>
      <c r="D1364" s="84"/>
      <c r="E1364" s="84"/>
      <c r="F1364" s="84"/>
    </row>
    <row r="1365" spans="1:6" x14ac:dyDescent="0.25">
      <c r="A1365" s="84"/>
      <c r="B1365" s="97"/>
      <c r="C1365" s="84"/>
      <c r="D1365" s="84"/>
      <c r="E1365" s="84"/>
      <c r="F1365" s="84"/>
    </row>
    <row r="1366" spans="1:6" x14ac:dyDescent="0.25">
      <c r="A1366" s="84"/>
      <c r="B1366" s="97"/>
      <c r="C1366" s="84"/>
      <c r="D1366" s="84"/>
      <c r="E1366" s="84"/>
      <c r="F1366" s="84"/>
    </row>
    <row r="1367" spans="1:6" x14ac:dyDescent="0.25">
      <c r="A1367" s="84"/>
      <c r="B1367" s="97"/>
      <c r="C1367" s="84"/>
      <c r="D1367" s="84"/>
      <c r="E1367" s="84"/>
      <c r="F1367" s="84"/>
    </row>
    <row r="1368" spans="1:6" x14ac:dyDescent="0.25">
      <c r="A1368" s="84"/>
      <c r="B1368" s="97"/>
      <c r="C1368" s="84"/>
      <c r="D1368" s="84"/>
      <c r="E1368" s="84"/>
      <c r="F1368" s="84"/>
    </row>
    <row r="1369" spans="1:6" x14ac:dyDescent="0.25">
      <c r="A1369" s="84"/>
      <c r="B1369" s="97"/>
      <c r="C1369" s="84"/>
      <c r="D1369" s="84"/>
      <c r="E1369" s="84"/>
      <c r="F1369" s="84"/>
    </row>
    <row r="1370" spans="1:6" x14ac:dyDescent="0.25">
      <c r="A1370" s="84"/>
      <c r="B1370" s="97"/>
      <c r="C1370" s="84"/>
      <c r="D1370" s="84"/>
      <c r="E1370" s="84"/>
      <c r="F1370" s="84"/>
    </row>
    <row r="1371" spans="1:6" x14ac:dyDescent="0.25">
      <c r="A1371" s="84"/>
      <c r="B1371" s="97"/>
      <c r="C1371" s="84"/>
      <c r="D1371" s="84"/>
      <c r="E1371" s="84"/>
      <c r="F1371" s="84"/>
    </row>
    <row r="1372" spans="1:6" x14ac:dyDescent="0.25">
      <c r="A1372" s="84"/>
      <c r="B1372" s="97"/>
      <c r="C1372" s="84"/>
      <c r="D1372" s="84"/>
      <c r="E1372" s="84"/>
      <c r="F1372" s="84"/>
    </row>
    <row r="1373" spans="1:6" x14ac:dyDescent="0.25">
      <c r="A1373" s="84"/>
      <c r="B1373" s="97"/>
      <c r="C1373" s="84"/>
      <c r="D1373" s="84"/>
      <c r="E1373" s="84"/>
      <c r="F1373" s="84"/>
    </row>
    <row r="1374" spans="1:6" x14ac:dyDescent="0.25">
      <c r="A1374" s="84"/>
      <c r="B1374" s="97"/>
      <c r="C1374" s="84"/>
      <c r="D1374" s="84"/>
      <c r="E1374" s="84"/>
      <c r="F1374" s="84"/>
    </row>
    <row r="1375" spans="1:6" x14ac:dyDescent="0.25">
      <c r="A1375" s="84"/>
      <c r="B1375" s="97"/>
      <c r="C1375" s="84"/>
      <c r="D1375" s="84"/>
      <c r="E1375" s="84"/>
      <c r="F1375" s="84"/>
    </row>
    <row r="1376" spans="1:6" x14ac:dyDescent="0.25">
      <c r="A1376" s="84"/>
      <c r="B1376" s="97"/>
      <c r="C1376" s="84"/>
      <c r="D1376" s="84"/>
      <c r="E1376" s="84"/>
      <c r="F1376" s="84"/>
    </row>
    <row r="1377" spans="1:6" x14ac:dyDescent="0.25">
      <c r="A1377" s="84"/>
      <c r="B1377" s="97"/>
      <c r="C1377" s="84"/>
      <c r="D1377" s="84"/>
      <c r="E1377" s="84"/>
      <c r="F1377" s="84"/>
    </row>
    <row r="1378" spans="1:6" x14ac:dyDescent="0.25">
      <c r="A1378" s="84"/>
      <c r="B1378" s="97"/>
      <c r="C1378" s="84"/>
      <c r="D1378" s="84"/>
      <c r="E1378" s="84"/>
      <c r="F1378" s="84"/>
    </row>
    <row r="1379" spans="1:6" x14ac:dyDescent="0.25">
      <c r="A1379" s="84"/>
      <c r="B1379" s="97"/>
      <c r="C1379" s="84"/>
      <c r="D1379" s="84"/>
      <c r="E1379" s="84"/>
      <c r="F1379" s="84"/>
    </row>
    <row r="1380" spans="1:6" x14ac:dyDescent="0.25">
      <c r="A1380" s="84"/>
      <c r="B1380" s="97"/>
      <c r="C1380" s="84"/>
      <c r="D1380" s="84"/>
      <c r="E1380" s="84"/>
      <c r="F1380" s="84"/>
    </row>
    <row r="1381" spans="1:6" x14ac:dyDescent="0.25">
      <c r="A1381" s="84"/>
      <c r="B1381" s="97"/>
      <c r="C1381" s="84"/>
      <c r="D1381" s="84"/>
      <c r="E1381" s="84"/>
      <c r="F1381" s="84"/>
    </row>
    <row r="1382" spans="1:6" x14ac:dyDescent="0.25">
      <c r="A1382" s="84"/>
      <c r="B1382" s="97"/>
      <c r="C1382" s="84"/>
      <c r="D1382" s="84"/>
      <c r="E1382" s="84"/>
      <c r="F1382" s="84"/>
    </row>
    <row r="1383" spans="1:6" x14ac:dyDescent="0.25">
      <c r="A1383" s="84"/>
      <c r="B1383" s="97"/>
      <c r="C1383" s="84"/>
      <c r="D1383" s="84"/>
      <c r="E1383" s="84"/>
      <c r="F1383" s="84"/>
    </row>
    <row r="1384" spans="1:6" x14ac:dyDescent="0.25">
      <c r="A1384" s="84"/>
      <c r="B1384" s="97"/>
      <c r="C1384" s="84"/>
      <c r="D1384" s="84"/>
      <c r="E1384" s="84"/>
      <c r="F1384" s="84"/>
    </row>
    <row r="1385" spans="1:6" x14ac:dyDescent="0.25">
      <c r="A1385" s="84"/>
      <c r="B1385" s="97"/>
      <c r="C1385" s="84"/>
      <c r="D1385" s="84"/>
      <c r="E1385" s="84"/>
      <c r="F1385" s="84"/>
    </row>
    <row r="1386" spans="1:6" x14ac:dyDescent="0.25">
      <c r="A1386" s="84"/>
      <c r="B1386" s="97"/>
      <c r="C1386" s="84"/>
      <c r="D1386" s="84"/>
      <c r="E1386" s="84"/>
      <c r="F1386" s="84"/>
    </row>
    <row r="1387" spans="1:6" x14ac:dyDescent="0.25">
      <c r="A1387" s="84"/>
      <c r="B1387" s="97"/>
      <c r="C1387" s="84"/>
      <c r="D1387" s="84"/>
      <c r="E1387" s="84"/>
      <c r="F1387" s="84"/>
    </row>
    <row r="1388" spans="1:6" x14ac:dyDescent="0.25">
      <c r="A1388" s="84"/>
      <c r="B1388" s="97"/>
      <c r="C1388" s="84"/>
      <c r="D1388" s="84"/>
      <c r="E1388" s="84"/>
      <c r="F1388" s="84"/>
    </row>
    <row r="1389" spans="1:6" x14ac:dyDescent="0.25">
      <c r="A1389" s="84"/>
      <c r="B1389" s="97"/>
      <c r="C1389" s="84"/>
      <c r="D1389" s="84"/>
      <c r="E1389" s="84"/>
      <c r="F1389" s="84"/>
    </row>
    <row r="1390" spans="1:6" x14ac:dyDescent="0.25">
      <c r="A1390" s="84"/>
      <c r="B1390" s="97"/>
      <c r="C1390" s="84"/>
      <c r="D1390" s="84"/>
      <c r="E1390" s="84"/>
      <c r="F1390" s="84"/>
    </row>
    <row r="1391" spans="1:6" x14ac:dyDescent="0.25">
      <c r="A1391" s="84"/>
      <c r="B1391" s="97"/>
      <c r="C1391" s="84"/>
      <c r="D1391" s="84"/>
      <c r="E1391" s="84"/>
      <c r="F1391" s="84"/>
    </row>
    <row r="1392" spans="1:6" x14ac:dyDescent="0.25">
      <c r="A1392" s="84"/>
      <c r="B1392" s="97"/>
      <c r="C1392" s="84"/>
      <c r="D1392" s="84"/>
      <c r="E1392" s="84"/>
      <c r="F1392" s="84"/>
    </row>
    <row r="1393" spans="1:6" x14ac:dyDescent="0.25">
      <c r="A1393" s="84"/>
      <c r="B1393" s="97"/>
      <c r="C1393" s="84"/>
      <c r="D1393" s="84"/>
      <c r="E1393" s="84"/>
      <c r="F1393" s="84"/>
    </row>
    <row r="1394" spans="1:6" x14ac:dyDescent="0.25">
      <c r="A1394" s="84"/>
      <c r="B1394" s="97"/>
      <c r="C1394" s="84"/>
      <c r="D1394" s="84"/>
      <c r="E1394" s="84"/>
      <c r="F1394" s="84"/>
    </row>
    <row r="1395" spans="1:6" x14ac:dyDescent="0.25">
      <c r="A1395" s="84"/>
      <c r="B1395" s="97"/>
      <c r="C1395" s="84"/>
      <c r="D1395" s="84"/>
      <c r="E1395" s="84"/>
      <c r="F1395" s="84"/>
    </row>
    <row r="1396" spans="1:6" x14ac:dyDescent="0.25">
      <c r="A1396" s="84"/>
      <c r="B1396" s="97"/>
      <c r="C1396" s="84"/>
      <c r="D1396" s="84"/>
      <c r="E1396" s="84"/>
      <c r="F1396" s="84"/>
    </row>
    <row r="1397" spans="1:6" x14ac:dyDescent="0.25">
      <c r="A1397" s="84"/>
      <c r="B1397" s="97"/>
      <c r="C1397" s="84"/>
      <c r="D1397" s="84"/>
      <c r="E1397" s="84"/>
      <c r="F1397" s="84"/>
    </row>
    <row r="1398" spans="1:6" x14ac:dyDescent="0.25">
      <c r="A1398" s="84"/>
      <c r="B1398" s="97"/>
      <c r="C1398" s="84"/>
      <c r="D1398" s="84"/>
      <c r="E1398" s="84"/>
      <c r="F1398" s="84"/>
    </row>
    <row r="1399" spans="1:6" x14ac:dyDescent="0.25">
      <c r="A1399" s="84"/>
      <c r="B1399" s="97"/>
      <c r="C1399" s="84"/>
      <c r="D1399" s="84"/>
      <c r="E1399" s="84"/>
      <c r="F1399" s="84"/>
    </row>
    <row r="1400" spans="1:6" x14ac:dyDescent="0.25">
      <c r="A1400" s="84"/>
      <c r="B1400" s="97"/>
      <c r="C1400" s="84"/>
      <c r="D1400" s="84"/>
      <c r="E1400" s="84"/>
      <c r="F1400" s="84"/>
    </row>
    <row r="1401" spans="1:6" x14ac:dyDescent="0.25">
      <c r="A1401" s="84"/>
      <c r="B1401" s="97"/>
      <c r="C1401" s="84"/>
      <c r="D1401" s="84"/>
      <c r="E1401" s="84"/>
      <c r="F1401" s="84"/>
    </row>
    <row r="1402" spans="1:6" x14ac:dyDescent="0.25">
      <c r="A1402" s="84"/>
      <c r="B1402" s="97"/>
      <c r="C1402" s="84"/>
      <c r="D1402" s="84"/>
      <c r="E1402" s="84"/>
      <c r="F1402" s="84"/>
    </row>
    <row r="1403" spans="1:6" x14ac:dyDescent="0.25">
      <c r="A1403" s="84"/>
      <c r="B1403" s="97"/>
      <c r="C1403" s="84"/>
      <c r="D1403" s="84"/>
      <c r="E1403" s="84"/>
      <c r="F1403" s="84"/>
    </row>
    <row r="1404" spans="1:6" x14ac:dyDescent="0.25">
      <c r="A1404" s="84"/>
      <c r="B1404" s="97"/>
      <c r="C1404" s="84"/>
      <c r="D1404" s="84"/>
      <c r="E1404" s="84"/>
      <c r="F1404" s="84"/>
    </row>
    <row r="1405" spans="1:6" x14ac:dyDescent="0.25">
      <c r="A1405" s="84"/>
      <c r="B1405" s="97"/>
      <c r="C1405" s="84"/>
      <c r="D1405" s="84"/>
      <c r="E1405" s="84"/>
      <c r="F1405" s="84"/>
    </row>
    <row r="1406" spans="1:6" x14ac:dyDescent="0.25">
      <c r="A1406" s="84"/>
      <c r="B1406" s="97"/>
      <c r="C1406" s="84"/>
      <c r="D1406" s="84"/>
      <c r="E1406" s="84"/>
      <c r="F1406" s="84"/>
    </row>
    <row r="1407" spans="1:6" x14ac:dyDescent="0.25">
      <c r="A1407" s="84"/>
      <c r="B1407" s="97"/>
      <c r="C1407" s="84"/>
      <c r="D1407" s="84"/>
      <c r="E1407" s="84"/>
      <c r="F1407" s="84"/>
    </row>
    <row r="1408" spans="1:6" x14ac:dyDescent="0.25">
      <c r="A1408" s="84"/>
      <c r="B1408" s="97"/>
      <c r="C1408" s="84"/>
      <c r="D1408" s="84"/>
      <c r="E1408" s="84"/>
      <c r="F1408" s="84"/>
    </row>
    <row r="1409" spans="1:6" x14ac:dyDescent="0.25">
      <c r="A1409" s="84"/>
      <c r="B1409" s="97"/>
      <c r="C1409" s="84"/>
      <c r="D1409" s="84"/>
      <c r="E1409" s="84"/>
      <c r="F1409" s="84"/>
    </row>
    <row r="1410" spans="1:6" x14ac:dyDescent="0.25">
      <c r="A1410" s="84"/>
      <c r="B1410" s="97"/>
      <c r="C1410" s="84"/>
      <c r="D1410" s="84"/>
      <c r="E1410" s="84"/>
      <c r="F1410" s="84"/>
    </row>
    <row r="1411" spans="1:6" x14ac:dyDescent="0.25">
      <c r="A1411" s="84"/>
      <c r="B1411" s="97"/>
      <c r="C1411" s="84"/>
      <c r="D1411" s="84"/>
      <c r="E1411" s="84"/>
      <c r="F1411" s="84"/>
    </row>
    <row r="1412" spans="1:6" x14ac:dyDescent="0.25">
      <c r="A1412" s="84"/>
      <c r="B1412" s="97"/>
      <c r="C1412" s="84"/>
      <c r="D1412" s="84"/>
      <c r="E1412" s="84"/>
      <c r="F1412" s="84"/>
    </row>
    <row r="1413" spans="1:6" x14ac:dyDescent="0.25">
      <c r="A1413" s="84"/>
      <c r="B1413" s="97"/>
      <c r="C1413" s="84"/>
      <c r="D1413" s="84"/>
      <c r="E1413" s="84"/>
      <c r="F1413" s="84"/>
    </row>
    <row r="1414" spans="1:6" x14ac:dyDescent="0.25">
      <c r="A1414" s="84"/>
      <c r="B1414" s="97"/>
      <c r="C1414" s="84"/>
      <c r="D1414" s="84"/>
      <c r="E1414" s="84"/>
      <c r="F1414" s="84"/>
    </row>
    <row r="1415" spans="1:6" x14ac:dyDescent="0.25">
      <c r="A1415" s="84"/>
      <c r="B1415" s="97"/>
      <c r="C1415" s="84"/>
      <c r="D1415" s="84"/>
      <c r="E1415" s="84"/>
      <c r="F1415" s="84"/>
    </row>
    <row r="1416" spans="1:6" x14ac:dyDescent="0.25">
      <c r="A1416" s="84"/>
      <c r="B1416" s="97"/>
      <c r="C1416" s="84"/>
      <c r="D1416" s="84"/>
      <c r="E1416" s="84"/>
      <c r="F1416" s="84"/>
    </row>
    <row r="1417" spans="1:6" x14ac:dyDescent="0.25">
      <c r="A1417" s="84"/>
      <c r="B1417" s="97"/>
      <c r="C1417" s="84"/>
      <c r="D1417" s="84"/>
      <c r="E1417" s="84"/>
      <c r="F1417" s="84"/>
    </row>
    <row r="1418" spans="1:6" x14ac:dyDescent="0.25">
      <c r="A1418" s="84"/>
      <c r="B1418" s="97"/>
      <c r="C1418" s="84"/>
      <c r="D1418" s="84"/>
      <c r="E1418" s="84"/>
      <c r="F1418" s="84"/>
    </row>
    <row r="1419" spans="1:6" x14ac:dyDescent="0.25">
      <c r="A1419" s="84"/>
      <c r="B1419" s="97"/>
      <c r="C1419" s="84"/>
      <c r="D1419" s="84"/>
      <c r="E1419" s="84"/>
      <c r="F1419" s="84"/>
    </row>
    <row r="1420" spans="1:6" x14ac:dyDescent="0.25">
      <c r="A1420" s="84"/>
      <c r="B1420" s="97"/>
      <c r="C1420" s="84"/>
      <c r="D1420" s="84"/>
      <c r="E1420" s="84"/>
      <c r="F1420" s="84"/>
    </row>
    <row r="1421" spans="1:6" x14ac:dyDescent="0.25">
      <c r="A1421" s="84"/>
      <c r="B1421" s="97"/>
      <c r="C1421" s="84"/>
      <c r="D1421" s="84"/>
      <c r="E1421" s="84"/>
      <c r="F1421" s="84"/>
    </row>
    <row r="1422" spans="1:6" x14ac:dyDescent="0.25">
      <c r="A1422" s="84"/>
      <c r="B1422" s="97"/>
      <c r="C1422" s="84"/>
      <c r="D1422" s="84"/>
      <c r="E1422" s="84"/>
      <c r="F1422" s="84"/>
    </row>
    <row r="1423" spans="1:6" x14ac:dyDescent="0.25">
      <c r="A1423" s="84"/>
      <c r="B1423" s="97"/>
      <c r="C1423" s="84"/>
      <c r="D1423" s="84"/>
      <c r="E1423" s="84"/>
      <c r="F1423" s="84"/>
    </row>
    <row r="1424" spans="1:6" x14ac:dyDescent="0.25">
      <c r="A1424" s="84"/>
      <c r="B1424" s="97"/>
      <c r="C1424" s="84"/>
      <c r="D1424" s="84"/>
      <c r="E1424" s="84"/>
      <c r="F1424" s="84"/>
    </row>
    <row r="1425" spans="1:6" x14ac:dyDescent="0.25">
      <c r="A1425" s="84"/>
      <c r="B1425" s="97"/>
      <c r="C1425" s="84"/>
      <c r="D1425" s="84"/>
      <c r="E1425" s="84"/>
      <c r="F1425" s="84"/>
    </row>
    <row r="1426" spans="1:6" x14ac:dyDescent="0.25">
      <c r="A1426" s="84"/>
      <c r="B1426" s="97"/>
      <c r="C1426" s="84"/>
      <c r="D1426" s="84"/>
      <c r="E1426" s="84"/>
      <c r="F1426" s="84"/>
    </row>
    <row r="1427" spans="1:6" x14ac:dyDescent="0.25">
      <c r="A1427" s="84"/>
      <c r="B1427" s="97"/>
      <c r="C1427" s="84"/>
      <c r="D1427" s="84"/>
      <c r="E1427" s="84"/>
      <c r="F1427" s="84"/>
    </row>
    <row r="1428" spans="1:6" x14ac:dyDescent="0.25">
      <c r="A1428" s="84"/>
      <c r="B1428" s="97"/>
      <c r="C1428" s="84"/>
      <c r="D1428" s="84"/>
      <c r="E1428" s="84"/>
      <c r="F1428" s="84"/>
    </row>
    <row r="1429" spans="1:6" x14ac:dyDescent="0.25">
      <c r="A1429" s="84"/>
      <c r="B1429" s="97"/>
      <c r="C1429" s="84"/>
      <c r="D1429" s="84"/>
      <c r="E1429" s="84"/>
      <c r="F1429" s="84"/>
    </row>
    <row r="1430" spans="1:6" x14ac:dyDescent="0.25">
      <c r="A1430" s="84"/>
      <c r="B1430" s="97"/>
      <c r="C1430" s="84"/>
      <c r="D1430" s="84"/>
      <c r="E1430" s="84"/>
      <c r="F1430" s="84"/>
    </row>
    <row r="1431" spans="1:6" x14ac:dyDescent="0.25">
      <c r="A1431" s="84"/>
      <c r="B1431" s="97"/>
      <c r="C1431" s="84"/>
      <c r="D1431" s="84"/>
      <c r="E1431" s="84"/>
      <c r="F1431" s="84"/>
    </row>
    <row r="1432" spans="1:6" x14ac:dyDescent="0.25">
      <c r="A1432" s="84"/>
      <c r="B1432" s="97"/>
      <c r="C1432" s="84"/>
      <c r="D1432" s="84"/>
      <c r="E1432" s="84"/>
      <c r="F1432" s="84"/>
    </row>
    <row r="1433" spans="1:6" x14ac:dyDescent="0.25">
      <c r="A1433" s="84"/>
      <c r="B1433" s="97"/>
      <c r="C1433" s="84"/>
      <c r="D1433" s="84"/>
      <c r="E1433" s="84"/>
      <c r="F1433" s="84"/>
    </row>
    <row r="1434" spans="1:6" x14ac:dyDescent="0.25">
      <c r="A1434" s="84"/>
      <c r="B1434" s="97"/>
      <c r="C1434" s="84"/>
      <c r="D1434" s="84"/>
      <c r="E1434" s="84"/>
      <c r="F1434" s="84"/>
    </row>
    <row r="1435" spans="1:6" x14ac:dyDescent="0.25">
      <c r="A1435" s="84"/>
      <c r="B1435" s="97"/>
      <c r="C1435" s="84"/>
      <c r="D1435" s="84"/>
      <c r="E1435" s="84"/>
      <c r="F1435" s="84"/>
    </row>
    <row r="1436" spans="1:6" x14ac:dyDescent="0.25">
      <c r="A1436" s="84"/>
      <c r="B1436" s="97"/>
      <c r="C1436" s="84"/>
      <c r="D1436" s="84"/>
      <c r="E1436" s="84"/>
      <c r="F1436" s="84"/>
    </row>
    <row r="1437" spans="1:6" x14ac:dyDescent="0.25">
      <c r="A1437" s="84"/>
      <c r="B1437" s="97"/>
      <c r="C1437" s="84"/>
      <c r="D1437" s="84"/>
      <c r="E1437" s="84"/>
      <c r="F1437" s="84"/>
    </row>
    <row r="1438" spans="1:6" x14ac:dyDescent="0.25">
      <c r="A1438" s="84"/>
      <c r="B1438" s="97"/>
      <c r="C1438" s="84"/>
      <c r="D1438" s="84"/>
      <c r="E1438" s="84"/>
      <c r="F1438" s="84"/>
    </row>
    <row r="1439" spans="1:6" x14ac:dyDescent="0.25">
      <c r="A1439" s="84"/>
      <c r="B1439" s="97"/>
      <c r="C1439" s="84"/>
      <c r="D1439" s="84"/>
      <c r="E1439" s="84"/>
      <c r="F1439" s="84"/>
    </row>
    <row r="1440" spans="1:6" x14ac:dyDescent="0.25">
      <c r="A1440" s="84"/>
      <c r="B1440" s="97"/>
      <c r="C1440" s="84"/>
      <c r="D1440" s="84"/>
      <c r="E1440" s="84"/>
      <c r="F1440" s="84"/>
    </row>
    <row r="1441" spans="1:6" x14ac:dyDescent="0.25">
      <c r="A1441" s="84"/>
      <c r="B1441" s="97"/>
      <c r="C1441" s="84"/>
      <c r="D1441" s="84"/>
      <c r="E1441" s="84"/>
      <c r="F1441" s="84"/>
    </row>
    <row r="1442" spans="1:6" x14ac:dyDescent="0.25">
      <c r="A1442" s="84"/>
      <c r="B1442" s="97"/>
      <c r="C1442" s="84"/>
      <c r="D1442" s="84"/>
      <c r="E1442" s="84"/>
      <c r="F1442" s="84"/>
    </row>
    <row r="1443" spans="1:6" x14ac:dyDescent="0.25">
      <c r="A1443" s="84"/>
      <c r="B1443" s="97"/>
      <c r="C1443" s="84"/>
      <c r="D1443" s="84"/>
      <c r="E1443" s="84"/>
      <c r="F1443" s="84"/>
    </row>
    <row r="1444" spans="1:6" x14ac:dyDescent="0.25">
      <c r="A1444" s="84"/>
      <c r="B1444" s="97"/>
      <c r="C1444" s="84"/>
      <c r="D1444" s="84"/>
      <c r="E1444" s="84"/>
      <c r="F1444" s="84"/>
    </row>
    <row r="1445" spans="1:6" x14ac:dyDescent="0.25">
      <c r="A1445" s="84"/>
      <c r="B1445" s="97"/>
      <c r="C1445" s="84"/>
      <c r="D1445" s="84"/>
      <c r="E1445" s="84"/>
      <c r="F1445" s="84"/>
    </row>
    <row r="1446" spans="1:6" x14ac:dyDescent="0.25">
      <c r="A1446" s="84"/>
      <c r="B1446" s="97"/>
      <c r="C1446" s="84"/>
      <c r="D1446" s="84"/>
      <c r="E1446" s="84"/>
      <c r="F1446" s="84"/>
    </row>
    <row r="1447" spans="1:6" x14ac:dyDescent="0.25">
      <c r="A1447" s="84"/>
      <c r="B1447" s="97"/>
      <c r="C1447" s="84"/>
      <c r="D1447" s="84"/>
      <c r="E1447" s="84"/>
      <c r="F1447" s="84"/>
    </row>
    <row r="1448" spans="1:6" x14ac:dyDescent="0.25">
      <c r="A1448" s="84"/>
      <c r="B1448" s="97"/>
      <c r="C1448" s="84"/>
      <c r="D1448" s="84"/>
      <c r="E1448" s="84"/>
      <c r="F1448" s="84"/>
    </row>
    <row r="1449" spans="1:6" x14ac:dyDescent="0.25">
      <c r="A1449" s="84"/>
      <c r="B1449" s="97"/>
      <c r="C1449" s="84"/>
      <c r="D1449" s="84"/>
      <c r="E1449" s="84"/>
      <c r="F1449" s="84"/>
    </row>
    <row r="1450" spans="1:6" x14ac:dyDescent="0.25">
      <c r="A1450" s="84"/>
      <c r="B1450" s="97"/>
      <c r="C1450" s="84"/>
      <c r="D1450" s="84"/>
      <c r="E1450" s="84"/>
      <c r="F1450" s="84"/>
    </row>
    <row r="1451" spans="1:6" x14ac:dyDescent="0.25">
      <c r="A1451" s="84"/>
      <c r="B1451" s="97"/>
      <c r="C1451" s="84"/>
      <c r="D1451" s="84"/>
      <c r="E1451" s="84"/>
      <c r="F1451" s="84"/>
    </row>
    <row r="1452" spans="1:6" x14ac:dyDescent="0.25">
      <c r="A1452" s="84"/>
      <c r="B1452" s="97"/>
      <c r="C1452" s="84"/>
      <c r="D1452" s="84"/>
      <c r="E1452" s="84"/>
      <c r="F1452" s="84"/>
    </row>
    <row r="1453" spans="1:6" x14ac:dyDescent="0.25">
      <c r="A1453" s="84"/>
      <c r="B1453" s="97"/>
      <c r="C1453" s="84"/>
      <c r="D1453" s="84"/>
      <c r="E1453" s="84"/>
      <c r="F1453" s="84"/>
    </row>
    <row r="1454" spans="1:6" x14ac:dyDescent="0.25">
      <c r="A1454" s="84"/>
      <c r="B1454" s="97"/>
      <c r="C1454" s="84"/>
      <c r="D1454" s="84"/>
      <c r="E1454" s="84"/>
      <c r="F1454" s="84"/>
    </row>
    <row r="1455" spans="1:6" x14ac:dyDescent="0.25">
      <c r="A1455" s="84"/>
      <c r="B1455" s="97"/>
      <c r="C1455" s="84"/>
      <c r="D1455" s="84"/>
      <c r="E1455" s="84"/>
      <c r="F1455" s="84"/>
    </row>
    <row r="1456" spans="1:6" x14ac:dyDescent="0.25">
      <c r="A1456" s="84"/>
      <c r="B1456" s="97"/>
      <c r="C1456" s="84"/>
      <c r="D1456" s="84"/>
      <c r="E1456" s="84"/>
      <c r="F1456" s="84"/>
    </row>
    <row r="1457" spans="1:6" x14ac:dyDescent="0.25">
      <c r="A1457" s="84"/>
      <c r="B1457" s="97"/>
      <c r="C1457" s="84"/>
      <c r="D1457" s="84"/>
      <c r="E1457" s="84"/>
      <c r="F1457" s="84"/>
    </row>
    <row r="1458" spans="1:6" x14ac:dyDescent="0.25">
      <c r="A1458" s="84"/>
      <c r="B1458" s="97"/>
      <c r="C1458" s="84"/>
      <c r="D1458" s="84"/>
      <c r="E1458" s="84"/>
      <c r="F1458" s="84"/>
    </row>
    <row r="1459" spans="1:6" x14ac:dyDescent="0.25">
      <c r="A1459" s="84"/>
      <c r="B1459" s="97"/>
      <c r="C1459" s="84"/>
      <c r="D1459" s="84"/>
      <c r="E1459" s="84"/>
      <c r="F1459" s="84"/>
    </row>
    <row r="1460" spans="1:6" x14ac:dyDescent="0.25">
      <c r="A1460" s="84"/>
      <c r="B1460" s="97"/>
      <c r="C1460" s="84"/>
      <c r="D1460" s="84"/>
      <c r="E1460" s="84"/>
      <c r="F1460" s="84"/>
    </row>
    <row r="1461" spans="1:6" x14ac:dyDescent="0.25">
      <c r="A1461" s="84"/>
      <c r="B1461" s="97"/>
      <c r="C1461" s="84"/>
      <c r="D1461" s="84"/>
      <c r="E1461" s="84"/>
      <c r="F1461" s="84"/>
    </row>
    <row r="1462" spans="1:6" x14ac:dyDescent="0.25">
      <c r="A1462" s="84"/>
      <c r="B1462" s="97"/>
      <c r="C1462" s="84"/>
      <c r="D1462" s="84"/>
      <c r="E1462" s="84"/>
      <c r="F1462" s="84"/>
    </row>
    <row r="1463" spans="1:6" x14ac:dyDescent="0.25">
      <c r="A1463" s="84"/>
      <c r="B1463" s="97"/>
      <c r="C1463" s="84"/>
      <c r="D1463" s="84"/>
      <c r="E1463" s="84"/>
      <c r="F1463" s="84"/>
    </row>
    <row r="1464" spans="1:6" x14ac:dyDescent="0.25">
      <c r="A1464" s="84"/>
      <c r="B1464" s="97"/>
      <c r="C1464" s="84"/>
      <c r="D1464" s="84"/>
      <c r="E1464" s="84"/>
      <c r="F1464" s="84"/>
    </row>
    <row r="1465" spans="1:6" x14ac:dyDescent="0.25">
      <c r="A1465" s="84"/>
      <c r="B1465" s="97"/>
      <c r="C1465" s="84"/>
      <c r="D1465" s="84"/>
      <c r="E1465" s="84"/>
      <c r="F1465" s="84"/>
    </row>
    <row r="1466" spans="1:6" x14ac:dyDescent="0.25">
      <c r="A1466" s="84"/>
      <c r="B1466" s="97"/>
      <c r="C1466" s="84"/>
      <c r="D1466" s="84"/>
      <c r="E1466" s="84"/>
      <c r="F1466" s="84"/>
    </row>
    <row r="1467" spans="1:6" x14ac:dyDescent="0.25">
      <c r="A1467" s="84"/>
      <c r="B1467" s="97"/>
      <c r="C1467" s="84"/>
      <c r="D1467" s="84"/>
      <c r="E1467" s="84"/>
      <c r="F1467" s="84"/>
    </row>
    <row r="1468" spans="1:6" x14ac:dyDescent="0.25">
      <c r="A1468" s="84"/>
      <c r="B1468" s="97"/>
      <c r="C1468" s="84"/>
      <c r="D1468" s="84"/>
      <c r="E1468" s="84"/>
      <c r="F1468" s="84"/>
    </row>
    <row r="1469" spans="1:6" x14ac:dyDescent="0.25">
      <c r="A1469" s="84"/>
      <c r="B1469" s="97"/>
      <c r="C1469" s="84"/>
      <c r="D1469" s="84"/>
      <c r="E1469" s="84"/>
      <c r="F1469" s="84"/>
    </row>
    <row r="1470" spans="1:6" x14ac:dyDescent="0.25">
      <c r="A1470" s="84"/>
      <c r="B1470" s="97"/>
      <c r="C1470" s="84"/>
      <c r="D1470" s="84"/>
      <c r="E1470" s="84"/>
      <c r="F1470" s="84"/>
    </row>
    <row r="1471" spans="1:6" x14ac:dyDescent="0.25">
      <c r="A1471" s="84"/>
      <c r="B1471" s="97"/>
      <c r="C1471" s="84"/>
      <c r="D1471" s="84"/>
      <c r="E1471" s="84"/>
      <c r="F1471" s="84"/>
    </row>
    <row r="1472" spans="1:6" x14ac:dyDescent="0.25">
      <c r="A1472" s="84"/>
      <c r="B1472" s="97"/>
      <c r="C1472" s="84"/>
      <c r="D1472" s="84"/>
      <c r="E1472" s="84"/>
      <c r="F1472" s="84"/>
    </row>
    <row r="1473" spans="1:6" x14ac:dyDescent="0.25">
      <c r="A1473" s="84"/>
      <c r="B1473" s="97"/>
      <c r="C1473" s="84"/>
      <c r="D1473" s="84"/>
      <c r="E1473" s="84"/>
      <c r="F1473" s="84"/>
    </row>
    <row r="1474" spans="1:6" x14ac:dyDescent="0.25">
      <c r="A1474" s="84"/>
      <c r="B1474" s="97"/>
      <c r="C1474" s="84"/>
      <c r="D1474" s="84"/>
      <c r="E1474" s="84"/>
      <c r="F1474" s="84"/>
    </row>
    <row r="1475" spans="1:6" x14ac:dyDescent="0.25">
      <c r="A1475" s="84"/>
      <c r="B1475" s="97"/>
      <c r="C1475" s="84"/>
      <c r="D1475" s="84"/>
      <c r="E1475" s="84"/>
      <c r="F1475" s="84"/>
    </row>
    <row r="1476" spans="1:6" x14ac:dyDescent="0.25">
      <c r="A1476" s="84"/>
      <c r="B1476" s="97"/>
      <c r="C1476" s="84"/>
      <c r="D1476" s="84"/>
      <c r="E1476" s="84"/>
      <c r="F1476" s="84"/>
    </row>
    <row r="1477" spans="1:6" x14ac:dyDescent="0.25">
      <c r="A1477" s="84"/>
      <c r="B1477" s="97"/>
      <c r="C1477" s="84"/>
      <c r="D1477" s="84"/>
      <c r="E1477" s="84"/>
      <c r="F1477" s="84"/>
    </row>
    <row r="1478" spans="1:6" x14ac:dyDescent="0.25">
      <c r="A1478" s="84"/>
      <c r="B1478" s="97"/>
      <c r="C1478" s="84"/>
      <c r="D1478" s="84"/>
      <c r="E1478" s="84"/>
      <c r="F1478" s="84"/>
    </row>
    <row r="1479" spans="1:6" x14ac:dyDescent="0.25">
      <c r="A1479" s="84"/>
      <c r="B1479" s="97"/>
      <c r="C1479" s="84"/>
      <c r="D1479" s="84"/>
      <c r="E1479" s="84"/>
      <c r="F1479" s="84"/>
    </row>
    <row r="1480" spans="1:6" x14ac:dyDescent="0.25">
      <c r="A1480" s="84"/>
      <c r="B1480" s="97"/>
      <c r="C1480" s="84"/>
      <c r="D1480" s="84"/>
      <c r="E1480" s="84"/>
      <c r="F1480" s="84"/>
    </row>
    <row r="1481" spans="1:6" x14ac:dyDescent="0.25">
      <c r="A1481" s="84"/>
      <c r="B1481" s="97"/>
      <c r="C1481" s="84"/>
      <c r="D1481" s="84"/>
      <c r="E1481" s="84"/>
      <c r="F1481" s="84"/>
    </row>
    <row r="1482" spans="1:6" x14ac:dyDescent="0.25">
      <c r="A1482" s="84"/>
      <c r="B1482" s="97"/>
      <c r="C1482" s="84"/>
      <c r="D1482" s="84"/>
      <c r="E1482" s="84"/>
      <c r="F1482" s="84"/>
    </row>
    <row r="1483" spans="1:6" x14ac:dyDescent="0.25">
      <c r="A1483" s="84"/>
      <c r="B1483" s="97"/>
      <c r="C1483" s="84"/>
      <c r="D1483" s="84"/>
      <c r="E1483" s="84"/>
      <c r="F1483" s="84"/>
    </row>
    <row r="1484" spans="1:6" x14ac:dyDescent="0.25">
      <c r="A1484" s="84"/>
      <c r="B1484" s="97"/>
      <c r="C1484" s="84"/>
      <c r="D1484" s="84"/>
      <c r="E1484" s="84"/>
      <c r="F1484" s="84"/>
    </row>
    <row r="1485" spans="1:6" x14ac:dyDescent="0.25">
      <c r="A1485" s="84"/>
      <c r="B1485" s="97"/>
      <c r="C1485" s="84"/>
      <c r="D1485" s="84"/>
      <c r="E1485" s="84"/>
      <c r="F1485" s="84"/>
    </row>
    <row r="1486" spans="1:6" x14ac:dyDescent="0.25">
      <c r="A1486" s="84"/>
      <c r="B1486" s="97"/>
      <c r="C1486" s="84"/>
      <c r="D1486" s="84"/>
      <c r="E1486" s="84"/>
      <c r="F1486" s="84"/>
    </row>
    <row r="1487" spans="1:6" x14ac:dyDescent="0.25">
      <c r="A1487" s="84"/>
      <c r="B1487" s="97"/>
      <c r="C1487" s="84"/>
      <c r="D1487" s="84"/>
      <c r="E1487" s="84"/>
      <c r="F1487" s="84"/>
    </row>
  </sheetData>
  <mergeCells count="7">
    <mergeCell ref="D6:F6"/>
    <mergeCell ref="A18:F18"/>
    <mergeCell ref="G20:I20"/>
    <mergeCell ref="D12:F12"/>
    <mergeCell ref="A15:F15"/>
    <mergeCell ref="A16:F16"/>
    <mergeCell ref="A17:F17"/>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J62"/>
  <sheetViews>
    <sheetView zoomScale="78" zoomScaleNormal="78" workbookViewId="0">
      <selection activeCell="G1" sqref="G1:J1048576"/>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hidden="1" customWidth="1"/>
    <col min="8" max="8" width="15" style="1" hidden="1" customWidth="1"/>
    <col min="9" max="9" width="16.375" style="1" hidden="1" customWidth="1"/>
    <col min="10" max="10" width="0" style="1" hidden="1" customWidth="1"/>
    <col min="11" max="16384" width="9" style="1"/>
  </cols>
  <sheetData>
    <row r="2" spans="1:7" x14ac:dyDescent="0.25">
      <c r="E2" s="224" t="s">
        <v>595</v>
      </c>
    </row>
    <row r="3" spans="1:7" x14ac:dyDescent="0.25">
      <c r="E3" s="139" t="s">
        <v>52</v>
      </c>
    </row>
    <row r="4" spans="1:7" x14ac:dyDescent="0.25">
      <c r="E4" s="139" t="s">
        <v>38</v>
      </c>
    </row>
    <row r="5" spans="1:7" x14ac:dyDescent="0.25">
      <c r="E5" s="223" t="s">
        <v>1029</v>
      </c>
    </row>
    <row r="8" spans="1:7" x14ac:dyDescent="0.25">
      <c r="B8" s="1"/>
      <c r="C8" s="1"/>
      <c r="D8" s="1"/>
      <c r="E8" s="137" t="s">
        <v>595</v>
      </c>
      <c r="F8" s="137"/>
      <c r="G8" s="137"/>
    </row>
    <row r="9" spans="1:7" x14ac:dyDescent="0.25">
      <c r="B9" s="1"/>
      <c r="C9" s="1"/>
      <c r="D9" s="1"/>
      <c r="E9" s="139" t="s">
        <v>52</v>
      </c>
      <c r="F9" s="139"/>
      <c r="G9" s="139"/>
    </row>
    <row r="10" spans="1:7" x14ac:dyDescent="0.25">
      <c r="B10" s="1"/>
      <c r="C10" s="1"/>
      <c r="D10" s="1"/>
      <c r="E10" s="139" t="s">
        <v>38</v>
      </c>
      <c r="F10" s="139"/>
      <c r="G10" s="139"/>
    </row>
    <row r="11" spans="1:7" ht="15.75" customHeight="1" x14ac:dyDescent="0.25">
      <c r="B11" s="1"/>
      <c r="C11" s="1"/>
      <c r="D11" s="1"/>
      <c r="E11" s="138" t="s">
        <v>946</v>
      </c>
      <c r="F11" s="138"/>
      <c r="G11" s="138"/>
    </row>
    <row r="13" spans="1:7" x14ac:dyDescent="0.25">
      <c r="C13" s="79"/>
      <c r="D13" s="79"/>
      <c r="E13" s="101"/>
      <c r="F13" s="101"/>
    </row>
    <row r="14" spans="1:7" x14ac:dyDescent="0.25">
      <c r="A14" s="250" t="s">
        <v>291</v>
      </c>
      <c r="B14" s="250"/>
      <c r="C14" s="250"/>
      <c r="D14" s="250"/>
      <c r="E14" s="250"/>
      <c r="F14" s="250"/>
      <c r="G14" s="102"/>
    </row>
    <row r="15" spans="1:7" x14ac:dyDescent="0.25">
      <c r="A15" s="250" t="s">
        <v>302</v>
      </c>
      <c r="B15" s="250"/>
      <c r="C15" s="250"/>
      <c r="D15" s="250"/>
      <c r="E15" s="250"/>
      <c r="F15" s="250"/>
      <c r="G15" s="102"/>
    </row>
    <row r="16" spans="1:7" x14ac:dyDescent="0.25">
      <c r="A16" s="250" t="s">
        <v>879</v>
      </c>
      <c r="B16" s="250"/>
      <c r="C16" s="250"/>
      <c r="D16" s="250"/>
      <c r="E16" s="250"/>
      <c r="F16" s="250"/>
      <c r="G16" s="102"/>
    </row>
    <row r="17" spans="1:10" x14ac:dyDescent="0.25">
      <c r="F17" s="8" t="s">
        <v>39</v>
      </c>
      <c r="G17" s="253" t="s">
        <v>548</v>
      </c>
      <c r="H17" s="253"/>
      <c r="I17" s="253"/>
    </row>
    <row r="18" spans="1:10" s="2" customFormat="1" ht="24" x14ac:dyDescent="0.25">
      <c r="A18" s="10" t="s">
        <v>0</v>
      </c>
      <c r="B18" s="11" t="s">
        <v>320</v>
      </c>
      <c r="C18" s="11" t="s">
        <v>1</v>
      </c>
      <c r="D18" s="17" t="s">
        <v>666</v>
      </c>
      <c r="E18" s="17" t="s">
        <v>687</v>
      </c>
      <c r="F18" s="17" t="s">
        <v>876</v>
      </c>
      <c r="G18" s="113">
        <f>'Цст.+Видр'!G21</f>
        <v>6884693.6000000006</v>
      </c>
      <c r="H18" s="113">
        <f>'Цст.+Видр'!H21</f>
        <v>5960367.4999999991</v>
      </c>
      <c r="I18" s="113">
        <f>'Цст.+Видр'!I21</f>
        <v>6129282.9000000004</v>
      </c>
      <c r="J18" s="83"/>
    </row>
    <row r="19" spans="1:10" s="3" customFormat="1" ht="18.75" x14ac:dyDescent="0.25">
      <c r="A19" s="12" t="s">
        <v>46</v>
      </c>
      <c r="B19" s="13"/>
      <c r="C19" s="13"/>
      <c r="D19" s="124">
        <f>D20+D28+D30+D36+D41+D47+D50+D55+D59+D61</f>
        <v>6884693.6000000006</v>
      </c>
      <c r="E19" s="124">
        <f>E20+E28+E30+E36+E41+E47+E50+E55+E59+E61</f>
        <v>5960367.4999999991</v>
      </c>
      <c r="F19" s="124">
        <f>F20+F28+F30+F36+F41+F47+F50+F55+F59+F61</f>
        <v>6129282.9000000004</v>
      </c>
      <c r="G19" s="149">
        <f>G18-D19</f>
        <v>0</v>
      </c>
      <c r="H19" s="149">
        <f t="shared" ref="H19:I19" si="0">H18-E19</f>
        <v>0</v>
      </c>
      <c r="I19" s="149">
        <f t="shared" si="0"/>
        <v>0</v>
      </c>
      <c r="J19" s="78"/>
    </row>
    <row r="20" spans="1:10" s="2" customFormat="1" x14ac:dyDescent="0.25">
      <c r="A20" s="18" t="s">
        <v>12</v>
      </c>
      <c r="B20" s="10" t="s">
        <v>26</v>
      </c>
      <c r="C20" s="10"/>
      <c r="D20" s="125">
        <f>D21+D22+D23+D24+D26+D27+D25</f>
        <v>480795.39999999997</v>
      </c>
      <c r="E20" s="125">
        <f t="shared" ref="E20:F20" si="1">E21+E22+E23+E24+E26+E27+E25</f>
        <v>718951.8</v>
      </c>
      <c r="F20" s="125">
        <f t="shared" si="1"/>
        <v>657509.80000000005</v>
      </c>
      <c r="G20" s="78"/>
      <c r="H20" s="78"/>
      <c r="I20" s="78"/>
      <c r="J20" s="78"/>
    </row>
    <row r="21" spans="1:10" s="2" customFormat="1" ht="25.5" x14ac:dyDescent="0.25">
      <c r="A21" s="24" t="s">
        <v>317</v>
      </c>
      <c r="B21" s="35" t="s">
        <v>26</v>
      </c>
      <c r="C21" s="35" t="s">
        <v>27</v>
      </c>
      <c r="D21" s="126">
        <f>'ведомств. стр. 2025-2027'!G612</f>
        <v>2954</v>
      </c>
      <c r="E21" s="126">
        <f>'ведомств. стр. 2025-2027'!H612</f>
        <v>3072.1</v>
      </c>
      <c r="F21" s="126">
        <f>'ведомств. стр. 2025-2027'!I612</f>
        <v>3195.1</v>
      </c>
      <c r="G21" s="78"/>
      <c r="H21" s="78"/>
      <c r="I21" s="78"/>
      <c r="J21" s="78"/>
    </row>
    <row r="22" spans="1:10" s="2" customFormat="1" ht="25.5" x14ac:dyDescent="0.25">
      <c r="A22" s="15" t="s">
        <v>47</v>
      </c>
      <c r="B22" s="35" t="s">
        <v>26</v>
      </c>
      <c r="C22" s="35" t="s">
        <v>28</v>
      </c>
      <c r="D22" s="126">
        <f>'ведомств. стр. 2025-2027'!G1005</f>
        <v>22881.800000000003</v>
      </c>
      <c r="E22" s="126">
        <f>'ведомств. стр. 2025-2027'!H1005</f>
        <v>23687</v>
      </c>
      <c r="F22" s="126">
        <f>'ведомств. стр. 2025-2027'!I1005</f>
        <v>24524.7</v>
      </c>
      <c r="G22" s="78"/>
      <c r="H22" s="78"/>
      <c r="I22" s="78"/>
      <c r="J22" s="78"/>
    </row>
    <row r="23" spans="1:10" s="2" customFormat="1" ht="25.5" x14ac:dyDescent="0.25">
      <c r="A23" s="24" t="s">
        <v>848</v>
      </c>
      <c r="B23" s="35" t="s">
        <v>26</v>
      </c>
      <c r="C23" s="35" t="s">
        <v>29</v>
      </c>
      <c r="D23" s="126">
        <f>'ведомств. стр. 2025-2027'!G617</f>
        <v>176911.89999999997</v>
      </c>
      <c r="E23" s="126">
        <f>'ведомств. стр. 2025-2027'!H617</f>
        <v>177222.09999999998</v>
      </c>
      <c r="F23" s="126">
        <f>'ведомств. стр. 2025-2027'!I617</f>
        <v>187191.59999999998</v>
      </c>
      <c r="G23" s="78"/>
      <c r="H23" s="78"/>
      <c r="I23" s="78"/>
      <c r="J23" s="78"/>
    </row>
    <row r="24" spans="1:10" s="2" customFormat="1" ht="24.75" customHeight="1" x14ac:dyDescent="0.25">
      <c r="A24" s="24" t="s">
        <v>158</v>
      </c>
      <c r="B24" s="35" t="s">
        <v>26</v>
      </c>
      <c r="C24" s="35" t="s">
        <v>35</v>
      </c>
      <c r="D24" s="126">
        <f>'ведомств. стр. 2025-2027'!G22+'ведомств. стр. 2025-2027'!G1023</f>
        <v>43304</v>
      </c>
      <c r="E24" s="126">
        <f>'ведомств. стр. 2025-2027'!H22+'ведомств. стр. 2025-2027'!H1023</f>
        <v>43738.8</v>
      </c>
      <c r="F24" s="126">
        <f>'ведомств. стр. 2025-2027'!I22+'ведомств. стр. 2025-2027'!I1023</f>
        <v>45248.5</v>
      </c>
      <c r="G24" s="78"/>
      <c r="H24" s="78"/>
      <c r="I24" s="78"/>
      <c r="J24" s="78"/>
    </row>
    <row r="25" spans="1:10" s="2" customFormat="1" x14ac:dyDescent="0.25">
      <c r="A25" s="24" t="s">
        <v>262</v>
      </c>
      <c r="B25" s="35" t="s">
        <v>26</v>
      </c>
      <c r="C25" s="35" t="s">
        <v>30</v>
      </c>
      <c r="D25" s="126">
        <f>'ведомств. стр. 2025-2027'!G648</f>
        <v>2125</v>
      </c>
      <c r="E25" s="126">
        <f>'ведомств. стр. 2025-2027'!H648</f>
        <v>2207</v>
      </c>
      <c r="F25" s="126">
        <f>'ведомств. стр. 2025-2027'!I648</f>
        <v>2294</v>
      </c>
      <c r="G25" s="78"/>
      <c r="H25" s="78"/>
      <c r="I25" s="78"/>
      <c r="J25" s="78"/>
    </row>
    <row r="26" spans="1:10" s="2" customFormat="1" ht="15" x14ac:dyDescent="0.25">
      <c r="A26" s="15" t="s">
        <v>4</v>
      </c>
      <c r="B26" s="35" t="s">
        <v>26</v>
      </c>
      <c r="C26" s="35" t="s">
        <v>32</v>
      </c>
      <c r="D26" s="126">
        <f>'ведомств. стр. 2025-2027'!G37</f>
        <v>10302.799999999999</v>
      </c>
      <c r="E26" s="126">
        <f>'ведомств. стр. 2025-2027'!H37</f>
        <v>25000</v>
      </c>
      <c r="F26" s="126">
        <f>'ведомств. стр. 2025-2027'!I37</f>
        <v>25000</v>
      </c>
    </row>
    <row r="27" spans="1:10" s="2" customFormat="1" ht="15" x14ac:dyDescent="0.25">
      <c r="A27" s="14" t="s">
        <v>40</v>
      </c>
      <c r="B27" s="35" t="s">
        <v>26</v>
      </c>
      <c r="C27" s="35" t="s">
        <v>48</v>
      </c>
      <c r="D27" s="126">
        <f>'ведомств. стр. 2025-2027'!G42+'ведомств. стр. 2025-2027'!G523+'ведомств. стр. 2025-2027'!G653</f>
        <v>222315.90000000002</v>
      </c>
      <c r="E27" s="126">
        <f>'ведомств. стр. 2025-2027'!H42+'ведомств. стр. 2025-2027'!H523+'ведомств. стр. 2025-2027'!H653</f>
        <v>444024.8</v>
      </c>
      <c r="F27" s="126">
        <f>'ведомств. стр. 2025-2027'!I42+'ведомств. стр. 2025-2027'!I523+'ведомств. стр. 2025-2027'!I653</f>
        <v>370055.9</v>
      </c>
    </row>
    <row r="28" spans="1:10" x14ac:dyDescent="0.25">
      <c r="A28" s="18" t="s">
        <v>15</v>
      </c>
      <c r="B28" s="10" t="s">
        <v>28</v>
      </c>
      <c r="C28" s="10"/>
      <c r="D28" s="125">
        <f>D29</f>
        <v>80019.199999999997</v>
      </c>
      <c r="E28" s="125">
        <f t="shared" ref="E28:F28" si="2">E29</f>
        <v>52233.200000000004</v>
      </c>
      <c r="F28" s="125">
        <f t="shared" si="2"/>
        <v>52999.899999999994</v>
      </c>
    </row>
    <row r="29" spans="1:10" ht="25.5" x14ac:dyDescent="0.25">
      <c r="A29" s="24" t="s">
        <v>373</v>
      </c>
      <c r="B29" s="35" t="s">
        <v>28</v>
      </c>
      <c r="C29" s="35" t="s">
        <v>33</v>
      </c>
      <c r="D29" s="126">
        <f>'ведомств. стр. 2025-2027'!G471</f>
        <v>80019.199999999997</v>
      </c>
      <c r="E29" s="126">
        <f>'ведомств. стр. 2025-2027'!H471</f>
        <v>52233.200000000004</v>
      </c>
      <c r="F29" s="126">
        <f>'ведомств. стр. 2025-2027'!I471</f>
        <v>52999.899999999994</v>
      </c>
    </row>
    <row r="30" spans="1:10" x14ac:dyDescent="0.25">
      <c r="A30" s="18" t="s">
        <v>5</v>
      </c>
      <c r="B30" s="10" t="s">
        <v>29</v>
      </c>
      <c r="C30" s="10"/>
      <c r="D30" s="125">
        <f>D31+D34+D35+D33+D32</f>
        <v>725738.80000000016</v>
      </c>
      <c r="E30" s="125">
        <f t="shared" ref="E30:F30" si="3">E31+E34+E35+E33+E32</f>
        <v>541251.00000000012</v>
      </c>
      <c r="F30" s="125">
        <f t="shared" si="3"/>
        <v>524834.9</v>
      </c>
    </row>
    <row r="31" spans="1:10" x14ac:dyDescent="0.25">
      <c r="A31" s="14" t="s">
        <v>23</v>
      </c>
      <c r="B31" s="35" t="s">
        <v>29</v>
      </c>
      <c r="C31" s="35" t="s">
        <v>37</v>
      </c>
      <c r="D31" s="126">
        <f>'ведомств. стр. 2025-2027'!G596+'ведомств. стр. 2025-2027'!G854</f>
        <v>10312.200000000001</v>
      </c>
      <c r="E31" s="126">
        <f>'ведомств. стр. 2025-2027'!H596+'ведомств. стр. 2025-2027'!H854</f>
        <v>15365.7</v>
      </c>
      <c r="F31" s="126">
        <f>'ведомств. стр. 2025-2027'!I596+'ведомств. стр. 2025-2027'!I854</f>
        <v>15558.3</v>
      </c>
    </row>
    <row r="32" spans="1:10" x14ac:dyDescent="0.25">
      <c r="A32" s="24" t="s">
        <v>325</v>
      </c>
      <c r="B32" s="35" t="s">
        <v>29</v>
      </c>
      <c r="C32" s="35" t="s">
        <v>35</v>
      </c>
      <c r="D32" s="126">
        <f>'ведомств. стр. 2025-2027'!G858</f>
        <v>1678.3</v>
      </c>
      <c r="E32" s="126">
        <f>'ведомств. стр. 2025-2027'!H858</f>
        <v>81.400000000000006</v>
      </c>
      <c r="F32" s="126">
        <f>'ведомств. стр. 2025-2027'!I858</f>
        <v>84.7</v>
      </c>
    </row>
    <row r="33" spans="1:6" x14ac:dyDescent="0.25">
      <c r="A33" s="14" t="s">
        <v>43</v>
      </c>
      <c r="B33" s="35" t="s">
        <v>29</v>
      </c>
      <c r="C33" s="35" t="s">
        <v>31</v>
      </c>
      <c r="D33" s="126">
        <f>'ведомств. стр. 2025-2027'!G706</f>
        <v>108777.5</v>
      </c>
      <c r="E33" s="126">
        <f>'ведомств. стр. 2025-2027'!H706</f>
        <v>50000</v>
      </c>
      <c r="F33" s="126">
        <f>'ведомств. стр. 2025-2027'!I706</f>
        <v>32968.6</v>
      </c>
    </row>
    <row r="34" spans="1:6" x14ac:dyDescent="0.25">
      <c r="A34" s="14" t="s">
        <v>54</v>
      </c>
      <c r="B34" s="35" t="s">
        <v>29</v>
      </c>
      <c r="C34" s="35" t="s">
        <v>34</v>
      </c>
      <c r="D34" s="126">
        <f>'ведомств. стр. 2025-2027'!G862</f>
        <v>574924.90000000014</v>
      </c>
      <c r="E34" s="126">
        <f>'ведомств. стр. 2025-2027'!H862</f>
        <v>445319.4</v>
      </c>
      <c r="F34" s="126">
        <f>'ведомств. стр. 2025-2027'!I862</f>
        <v>444656.9</v>
      </c>
    </row>
    <row r="35" spans="1:6" x14ac:dyDescent="0.25">
      <c r="A35" s="14" t="s">
        <v>6</v>
      </c>
      <c r="B35" s="35" t="s">
        <v>29</v>
      </c>
      <c r="C35" s="35" t="s">
        <v>36</v>
      </c>
      <c r="D35" s="126">
        <f>'ведомств. стр. 2025-2027'!G553+'ведомств. стр. 2025-2027'!G718+'ведомств. стр. 2025-2027'!G838</f>
        <v>30045.9</v>
      </c>
      <c r="E35" s="126">
        <f>'ведомств. стр. 2025-2027'!H553+'ведомств. стр. 2025-2027'!H718+'ведомств. стр. 2025-2027'!H838</f>
        <v>30484.5</v>
      </c>
      <c r="F35" s="126">
        <f>'ведомств. стр. 2025-2027'!I553+'ведомств. стр. 2025-2027'!I718+'ведомств. стр. 2025-2027'!I838</f>
        <v>31566.400000000001</v>
      </c>
    </row>
    <row r="36" spans="1:6" x14ac:dyDescent="0.25">
      <c r="A36" s="18" t="s">
        <v>21</v>
      </c>
      <c r="B36" s="10" t="s">
        <v>37</v>
      </c>
      <c r="C36" s="10"/>
      <c r="D36" s="125">
        <f>D37+D38+D39+D40</f>
        <v>1287740.4000000001</v>
      </c>
      <c r="E36" s="125">
        <f t="shared" ref="E36:F36" si="4">E37+E38+E39+E40</f>
        <v>527406.29999999993</v>
      </c>
      <c r="F36" s="125">
        <f t="shared" si="4"/>
        <v>563366.5</v>
      </c>
    </row>
    <row r="37" spans="1:6" x14ac:dyDescent="0.25">
      <c r="A37" s="14" t="s">
        <v>24</v>
      </c>
      <c r="B37" s="35" t="s">
        <v>37</v>
      </c>
      <c r="C37" s="35" t="s">
        <v>26</v>
      </c>
      <c r="D37" s="126">
        <f>'ведомств. стр. 2025-2027'!G560+'ведомств. стр. 2025-2027'!G885</f>
        <v>61091</v>
      </c>
      <c r="E37" s="126">
        <f>'ведомств. стр. 2025-2027'!H560</f>
        <v>48388.5</v>
      </c>
      <c r="F37" s="126">
        <f>'ведомств. стр. 2025-2027'!I560</f>
        <v>20146.5</v>
      </c>
    </row>
    <row r="38" spans="1:6" x14ac:dyDescent="0.25">
      <c r="A38" s="14" t="s">
        <v>42</v>
      </c>
      <c r="B38" s="35" t="s">
        <v>37</v>
      </c>
      <c r="C38" s="35" t="s">
        <v>27</v>
      </c>
      <c r="D38" s="126">
        <f>'ведомств. стр. 2025-2027'!G889</f>
        <v>164971.90000000002</v>
      </c>
      <c r="E38" s="126">
        <f>'ведомств. стр. 2025-2027'!H889</f>
        <v>15392.800000000001</v>
      </c>
      <c r="F38" s="126">
        <f>'ведомств. стр. 2025-2027'!I889</f>
        <v>21722.5</v>
      </c>
    </row>
    <row r="39" spans="1:6" x14ac:dyDescent="0.25">
      <c r="A39" s="14" t="s">
        <v>25</v>
      </c>
      <c r="B39" s="35" t="s">
        <v>37</v>
      </c>
      <c r="C39" s="35" t="s">
        <v>28</v>
      </c>
      <c r="D39" s="126">
        <f>'ведомств. стр. 2025-2027'!G918</f>
        <v>941920.2</v>
      </c>
      <c r="E39" s="126">
        <f>'ведомств. стр. 2025-2027'!H918</f>
        <v>349337.39999999997</v>
      </c>
      <c r="F39" s="126">
        <f>'ведомств. стр. 2025-2027'!I918</f>
        <v>396407.9</v>
      </c>
    </row>
    <row r="40" spans="1:6" x14ac:dyDescent="0.25">
      <c r="A40" s="14" t="s">
        <v>22</v>
      </c>
      <c r="B40" s="35" t="s">
        <v>37</v>
      </c>
      <c r="C40" s="35" t="s">
        <v>37</v>
      </c>
      <c r="D40" s="126">
        <f>'ведомств. стр. 2025-2027'!G979</f>
        <v>119757.30000000002</v>
      </c>
      <c r="E40" s="126">
        <f>'ведомств. стр. 2025-2027'!H979</f>
        <v>114287.60000000002</v>
      </c>
      <c r="F40" s="126">
        <f>'ведомств. стр. 2025-2027'!I979</f>
        <v>125089.60000000001</v>
      </c>
    </row>
    <row r="41" spans="1:6" x14ac:dyDescent="0.25">
      <c r="A41" s="18" t="s">
        <v>7</v>
      </c>
      <c r="B41" s="10" t="s">
        <v>30</v>
      </c>
      <c r="C41" s="10"/>
      <c r="D41" s="125">
        <f>D42+D43+D44+D45+D46</f>
        <v>3613701.3000000003</v>
      </c>
      <c r="E41" s="125">
        <f t="shared" ref="E41:F41" si="5">E42+E43+E44+E45+E46</f>
        <v>3293273.9999999995</v>
      </c>
      <c r="F41" s="125">
        <f t="shared" si="5"/>
        <v>3392726.6</v>
      </c>
    </row>
    <row r="42" spans="1:6" x14ac:dyDescent="0.25">
      <c r="A42" s="14" t="s">
        <v>16</v>
      </c>
      <c r="B42" s="35" t="s">
        <v>30</v>
      </c>
      <c r="C42" s="35" t="s">
        <v>26</v>
      </c>
      <c r="D42" s="126">
        <f>'ведомств. стр. 2025-2027'!G65</f>
        <v>1234378.3999999997</v>
      </c>
      <c r="E42" s="126">
        <f>'ведомств. стр. 2025-2027'!H65</f>
        <v>1312773.1000000001</v>
      </c>
      <c r="F42" s="126">
        <f>'ведомств. стр. 2025-2027'!I65</f>
        <v>1372065.0999999999</v>
      </c>
    </row>
    <row r="43" spans="1:6" x14ac:dyDescent="0.25">
      <c r="A43" s="14" t="s">
        <v>13</v>
      </c>
      <c r="B43" s="35" t="s">
        <v>30</v>
      </c>
      <c r="C43" s="35" t="s">
        <v>27</v>
      </c>
      <c r="D43" s="126">
        <f>'ведомств. стр. 2025-2027'!G125</f>
        <v>2173107.3000000003</v>
      </c>
      <c r="E43" s="126">
        <f>'ведомств. стр. 2025-2027'!H125</f>
        <v>1768558.7</v>
      </c>
      <c r="F43" s="126">
        <f>'ведомств. стр. 2025-2027'!I125</f>
        <v>1800979.7</v>
      </c>
    </row>
    <row r="44" spans="1:6" x14ac:dyDescent="0.25">
      <c r="A44" s="24" t="s">
        <v>238</v>
      </c>
      <c r="B44" s="35" t="s">
        <v>30</v>
      </c>
      <c r="C44" s="35" t="s">
        <v>28</v>
      </c>
      <c r="D44" s="126">
        <f>'ведомств. стр. 2025-2027'!G215</f>
        <v>80444</v>
      </c>
      <c r="E44" s="126">
        <f>'ведомств. стр. 2025-2027'!H215</f>
        <v>85572.799999999988</v>
      </c>
      <c r="F44" s="126">
        <f>'ведомств. стр. 2025-2027'!I215</f>
        <v>89296.999999999985</v>
      </c>
    </row>
    <row r="45" spans="1:6" x14ac:dyDescent="0.25">
      <c r="A45" s="14" t="s">
        <v>252</v>
      </c>
      <c r="B45" s="35" t="s">
        <v>30</v>
      </c>
      <c r="C45" s="35" t="s">
        <v>30</v>
      </c>
      <c r="D45" s="126">
        <f>'ведомств. стр. 2025-2027'!G738</f>
        <v>9339.9</v>
      </c>
      <c r="E45" s="126">
        <f>'ведомств. стр. 2025-2027'!H738</f>
        <v>9296</v>
      </c>
      <c r="F45" s="126">
        <f>'ведомств. стр. 2025-2027'!I738</f>
        <v>9575.0999999999985</v>
      </c>
    </row>
    <row r="46" spans="1:6" x14ac:dyDescent="0.25">
      <c r="A46" s="14" t="s">
        <v>14</v>
      </c>
      <c r="B46" s="35" t="s">
        <v>30</v>
      </c>
      <c r="C46" s="35" t="s">
        <v>34</v>
      </c>
      <c r="D46" s="126">
        <f>'ведомств. стр. 2025-2027'!G250+'ведомств. стр. 2025-2027'!G766</f>
        <v>116431.70000000001</v>
      </c>
      <c r="E46" s="126">
        <f>'ведомств. стр. 2025-2027'!H250+'ведомств. стр. 2025-2027'!H766</f>
        <v>117073.40000000001</v>
      </c>
      <c r="F46" s="126">
        <f>'ведомств. стр. 2025-2027'!I250+'ведомств. стр. 2025-2027'!I766</f>
        <v>120809.70000000001</v>
      </c>
    </row>
    <row r="47" spans="1:6" x14ac:dyDescent="0.25">
      <c r="A47" s="18" t="s">
        <v>296</v>
      </c>
      <c r="B47" s="10" t="s">
        <v>31</v>
      </c>
      <c r="C47" s="10"/>
      <c r="D47" s="125">
        <f>D48+D49</f>
        <v>255894.00000000003</v>
      </c>
      <c r="E47" s="125">
        <f t="shared" ref="E47:F47" si="6">E48+E49</f>
        <v>263197.40000000002</v>
      </c>
      <c r="F47" s="125">
        <f t="shared" si="6"/>
        <v>281681.40000000002</v>
      </c>
    </row>
    <row r="48" spans="1:6" x14ac:dyDescent="0.25">
      <c r="A48" s="14" t="s">
        <v>18</v>
      </c>
      <c r="B48" s="35" t="s">
        <v>31</v>
      </c>
      <c r="C48" s="35" t="s">
        <v>26</v>
      </c>
      <c r="D48" s="126">
        <f>'ведомств. стр. 2025-2027'!G320+'ведомств. стр. 2025-2027'!G772</f>
        <v>245239.20000000004</v>
      </c>
      <c r="E48" s="126">
        <f>'ведомств. стр. 2025-2027'!H320+'ведомств. стр. 2025-2027'!H772</f>
        <v>252163.20000000001</v>
      </c>
      <c r="F48" s="126">
        <f>'ведомств. стр. 2025-2027'!I320+'ведомств. стр. 2025-2027'!I772</f>
        <v>270226.90000000002</v>
      </c>
    </row>
    <row r="49" spans="1:6" x14ac:dyDescent="0.25">
      <c r="A49" s="14" t="s">
        <v>51</v>
      </c>
      <c r="B49" s="35" t="s">
        <v>31</v>
      </c>
      <c r="C49" s="35" t="s">
        <v>29</v>
      </c>
      <c r="D49" s="126">
        <f>'ведомств. стр. 2025-2027'!G393</f>
        <v>10654.8</v>
      </c>
      <c r="E49" s="126">
        <f>'ведомств. стр. 2025-2027'!H393</f>
        <v>11034.199999999999</v>
      </c>
      <c r="F49" s="126">
        <f>'ведомств. стр. 2025-2027'!I393</f>
        <v>11454.5</v>
      </c>
    </row>
    <row r="50" spans="1:6" x14ac:dyDescent="0.25">
      <c r="A50" s="18" t="s">
        <v>9</v>
      </c>
      <c r="B50" s="10" t="s">
        <v>33</v>
      </c>
      <c r="C50" s="10"/>
      <c r="D50" s="125">
        <f>D51+D52+D53+D54</f>
        <v>317789.2</v>
      </c>
      <c r="E50" s="125">
        <f t="shared" ref="E50:F50" si="7">E51+E52+E53+E54</f>
        <v>340899.2</v>
      </c>
      <c r="F50" s="125">
        <f t="shared" si="7"/>
        <v>364990.7</v>
      </c>
    </row>
    <row r="51" spans="1:6" x14ac:dyDescent="0.25">
      <c r="A51" s="14" t="s">
        <v>19</v>
      </c>
      <c r="B51" s="35" t="s">
        <v>33</v>
      </c>
      <c r="C51" s="35" t="s">
        <v>26</v>
      </c>
      <c r="D51" s="126">
        <f>'ведомств. стр. 2025-2027'!G782</f>
        <v>30018</v>
      </c>
      <c r="E51" s="126">
        <f>'ведомств. стр. 2025-2027'!H782</f>
        <v>31161.7</v>
      </c>
      <c r="F51" s="126">
        <f>'ведомств. стр. 2025-2027'!I782</f>
        <v>32404.2</v>
      </c>
    </row>
    <row r="52" spans="1:6" x14ac:dyDescent="0.25">
      <c r="A52" s="15" t="s">
        <v>10</v>
      </c>
      <c r="B52" s="35" t="s">
        <v>33</v>
      </c>
      <c r="C52" s="35" t="s">
        <v>28</v>
      </c>
      <c r="D52" s="126">
        <f>'ведомств. стр. 2025-2027'!G577+'ведомств. стр. 2025-2027'!G787</f>
        <v>113728.5</v>
      </c>
      <c r="E52" s="126">
        <f>'ведомств. стр. 2025-2027'!H577+'ведомств. стр. 2025-2027'!H787</f>
        <v>159843.79999999999</v>
      </c>
      <c r="F52" s="126">
        <f>'ведомств. стр. 2025-2027'!I577+'ведомств. стр. 2025-2027'!I787</f>
        <v>186043.1</v>
      </c>
    </row>
    <row r="53" spans="1:6" x14ac:dyDescent="0.25">
      <c r="A53" s="14" t="s">
        <v>41</v>
      </c>
      <c r="B53" s="35" t="s">
        <v>33</v>
      </c>
      <c r="C53" s="35" t="s">
        <v>29</v>
      </c>
      <c r="D53" s="126">
        <f>'ведомств. стр. 2025-2027'!G313+'ведомств. стр. 2025-2027'!G583</f>
        <v>174042.7</v>
      </c>
      <c r="E53" s="126">
        <f>'ведомств. стр. 2025-2027'!H313+'ведомств. стр. 2025-2027'!H583</f>
        <v>149893.70000000001</v>
      </c>
      <c r="F53" s="126">
        <f>'ведомств. стр. 2025-2027'!I313+'ведомств. стр. 2025-2027'!I583</f>
        <v>146543.4</v>
      </c>
    </row>
    <row r="54" spans="1:6" hidden="1" x14ac:dyDescent="0.25">
      <c r="A54" s="16" t="s">
        <v>53</v>
      </c>
      <c r="B54" s="35" t="s">
        <v>33</v>
      </c>
      <c r="C54" s="35" t="s">
        <v>35</v>
      </c>
      <c r="D54" s="126"/>
      <c r="E54" s="126"/>
      <c r="F54" s="126"/>
    </row>
    <row r="55" spans="1:6" x14ac:dyDescent="0.25">
      <c r="A55" s="18" t="s">
        <v>50</v>
      </c>
      <c r="B55" s="10" t="s">
        <v>32</v>
      </c>
      <c r="C55" s="10"/>
      <c r="D55" s="125">
        <f>D56+D57+D58</f>
        <v>102363.8</v>
      </c>
      <c r="E55" s="125">
        <f t="shared" ref="E55:F55" si="8">E56+E57+E58</f>
        <v>106470.3</v>
      </c>
      <c r="F55" s="125">
        <f t="shared" si="8"/>
        <v>110737.09999999999</v>
      </c>
    </row>
    <row r="56" spans="1:6" x14ac:dyDescent="0.25">
      <c r="A56" s="14" t="s">
        <v>56</v>
      </c>
      <c r="B56" s="35" t="s">
        <v>32</v>
      </c>
      <c r="C56" s="35" t="s">
        <v>26</v>
      </c>
      <c r="D56" s="126">
        <f>'ведомств. стр. 2025-2027'!G409</f>
        <v>74578.8</v>
      </c>
      <c r="E56" s="126">
        <f>'ведомств. стр. 2025-2027'!H409</f>
        <v>77712.7</v>
      </c>
      <c r="F56" s="126">
        <f>'ведомств. стр. 2025-2027'!I409</f>
        <v>80967.899999999994</v>
      </c>
    </row>
    <row r="57" spans="1:6" x14ac:dyDescent="0.25">
      <c r="A57" s="14" t="s">
        <v>57</v>
      </c>
      <c r="B57" s="35" t="s">
        <v>32</v>
      </c>
      <c r="C57" s="35" t="s">
        <v>27</v>
      </c>
      <c r="D57" s="126">
        <f>'ведомств. стр. 2025-2027'!G426</f>
        <v>20434.3</v>
      </c>
      <c r="E57" s="126">
        <f>'ведомств. стр. 2025-2027'!H426</f>
        <v>21124</v>
      </c>
      <c r="F57" s="126">
        <f>'ведомств. стр. 2025-2027'!I426</f>
        <v>21841.4</v>
      </c>
    </row>
    <row r="58" spans="1:6" x14ac:dyDescent="0.25">
      <c r="A58" s="14" t="s">
        <v>58</v>
      </c>
      <c r="B58" s="35" t="s">
        <v>32</v>
      </c>
      <c r="C58" s="35" t="s">
        <v>37</v>
      </c>
      <c r="D58" s="126">
        <f>'ведомств. стр. 2025-2027'!G455</f>
        <v>7350.7</v>
      </c>
      <c r="E58" s="126">
        <f>'ведомств. стр. 2025-2027'!H455</f>
        <v>7633.6</v>
      </c>
      <c r="F58" s="126">
        <f>'ведомств. стр. 2025-2027'!I455</f>
        <v>7927.8</v>
      </c>
    </row>
    <row r="59" spans="1:6" x14ac:dyDescent="0.25">
      <c r="A59" s="18" t="s">
        <v>49</v>
      </c>
      <c r="B59" s="10" t="s">
        <v>36</v>
      </c>
      <c r="C59" s="10"/>
      <c r="D59" s="125">
        <f>D60</f>
        <v>9766.5</v>
      </c>
      <c r="E59" s="125">
        <f t="shared" ref="E59:F59" si="9">E60</f>
        <v>9942</v>
      </c>
      <c r="F59" s="125">
        <f t="shared" si="9"/>
        <v>10154</v>
      </c>
    </row>
    <row r="60" spans="1:6" x14ac:dyDescent="0.25">
      <c r="A60" s="15" t="s">
        <v>8</v>
      </c>
      <c r="B60" s="35" t="s">
        <v>36</v>
      </c>
      <c r="C60" s="35" t="s">
        <v>27</v>
      </c>
      <c r="D60" s="126">
        <f>'ведомств. стр. 2025-2027'!G824</f>
        <v>9766.5</v>
      </c>
      <c r="E60" s="126">
        <f>'ведомств. стр. 2025-2027'!H824</f>
        <v>9942</v>
      </c>
      <c r="F60" s="126">
        <f>'ведомств. стр. 2025-2027'!I824</f>
        <v>10154</v>
      </c>
    </row>
    <row r="61" spans="1:6" x14ac:dyDescent="0.25">
      <c r="A61" s="86" t="s">
        <v>641</v>
      </c>
      <c r="B61" s="10" t="s">
        <v>48</v>
      </c>
      <c r="C61" s="10"/>
      <c r="D61" s="125">
        <f>D62</f>
        <v>10885</v>
      </c>
      <c r="E61" s="125">
        <f t="shared" ref="E61:F61" si="10">E62</f>
        <v>106742.3</v>
      </c>
      <c r="F61" s="125">
        <f t="shared" si="10"/>
        <v>170282</v>
      </c>
    </row>
    <row r="62" spans="1:6" x14ac:dyDescent="0.25">
      <c r="A62" s="24" t="s">
        <v>642</v>
      </c>
      <c r="B62" s="35" t="s">
        <v>48</v>
      </c>
      <c r="C62" s="35" t="s">
        <v>26</v>
      </c>
      <c r="D62" s="126">
        <f>'ведомств. стр. 2025-2027'!G57</f>
        <v>10885</v>
      </c>
      <c r="E62" s="126">
        <f>'ведомств. стр. 2025-2027'!H57</f>
        <v>106742.3</v>
      </c>
      <c r="F62" s="126">
        <f>'ведомств. стр. 2025-2027'!I57</f>
        <v>170282</v>
      </c>
    </row>
  </sheetData>
  <mergeCells count="4">
    <mergeCell ref="G17:I17"/>
    <mergeCell ref="A15:F15"/>
    <mergeCell ref="A16:F16"/>
    <mergeCell ref="A14:F14"/>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0"/>
  <sheetViews>
    <sheetView topLeftCell="A64" zoomScale="86" zoomScaleNormal="86" workbookViewId="0">
      <selection activeCell="G1" sqref="G1:K1048576"/>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11" width="0" style="31" hidden="1" customWidth="1"/>
    <col min="12" max="16384" width="9" style="31"/>
  </cols>
  <sheetData>
    <row r="2" spans="1:6" x14ac:dyDescent="0.25">
      <c r="D2" s="96" t="s">
        <v>1026</v>
      </c>
    </row>
    <row r="3" spans="1:6" x14ac:dyDescent="0.25">
      <c r="D3" s="97" t="s">
        <v>52</v>
      </c>
    </row>
    <row r="4" spans="1:6" x14ac:dyDescent="0.25">
      <c r="D4" s="97" t="s">
        <v>38</v>
      </c>
    </row>
    <row r="5" spans="1:6" x14ac:dyDescent="0.25">
      <c r="D5" s="98" t="s">
        <v>1029</v>
      </c>
    </row>
    <row r="6" spans="1:6" x14ac:dyDescent="0.25">
      <c r="D6" s="98"/>
    </row>
    <row r="7" spans="1:6" s="97" customFormat="1" ht="12.75" x14ac:dyDescent="0.2">
      <c r="A7" s="98"/>
      <c r="B7" s="98"/>
      <c r="C7" s="98"/>
      <c r="D7" s="98"/>
      <c r="E7" s="98"/>
      <c r="F7" s="98"/>
    </row>
    <row r="8" spans="1:6" s="97" customFormat="1" ht="12.75" x14ac:dyDescent="0.2">
      <c r="B8" s="96"/>
      <c r="C8" s="96"/>
      <c r="D8" s="96" t="s">
        <v>597</v>
      </c>
      <c r="F8" s="96"/>
    </row>
    <row r="9" spans="1:6" s="97" customFormat="1" ht="12.75" x14ac:dyDescent="0.2">
      <c r="D9" s="97" t="s">
        <v>52</v>
      </c>
    </row>
    <row r="10" spans="1:6" s="97" customFormat="1" ht="12.75" x14ac:dyDescent="0.2">
      <c r="D10" s="97" t="s">
        <v>38</v>
      </c>
    </row>
    <row r="11" spans="1:6" s="97" customFormat="1" ht="12.75" x14ac:dyDescent="0.2">
      <c r="B11" s="98"/>
      <c r="C11" s="98"/>
      <c r="D11" s="98" t="s">
        <v>946</v>
      </c>
      <c r="F11" s="98"/>
    </row>
    <row r="12" spans="1:6" s="97" customFormat="1" ht="12.75" x14ac:dyDescent="0.2">
      <c r="A12" s="98"/>
      <c r="B12" s="98"/>
      <c r="C12" s="98"/>
      <c r="D12" s="98"/>
      <c r="E12" s="98"/>
      <c r="F12" s="98"/>
    </row>
    <row r="13" spans="1:6" ht="12.75" customHeight="1" x14ac:dyDescent="0.2">
      <c r="A13" s="254" t="s">
        <v>878</v>
      </c>
      <c r="B13" s="254"/>
      <c r="C13" s="254"/>
      <c r="D13" s="254"/>
      <c r="E13" s="254"/>
      <c r="F13" s="254"/>
    </row>
    <row r="14" spans="1:6" ht="3" customHeight="1" x14ac:dyDescent="0.2">
      <c r="A14" s="254"/>
      <c r="B14" s="254"/>
      <c r="C14" s="254"/>
      <c r="D14" s="254"/>
      <c r="E14" s="254"/>
      <c r="F14" s="254"/>
    </row>
    <row r="15" spans="1:6" ht="12.75" customHeight="1" x14ac:dyDescent="0.2">
      <c r="A15" s="254"/>
      <c r="B15" s="254"/>
      <c r="C15" s="254"/>
      <c r="D15" s="254"/>
      <c r="E15" s="254"/>
      <c r="F15" s="254"/>
    </row>
    <row r="16" spans="1:6" ht="12.75" customHeight="1" x14ac:dyDescent="0.2">
      <c r="A16" s="254"/>
      <c r="B16" s="254"/>
      <c r="C16" s="254"/>
      <c r="D16" s="254"/>
      <c r="E16" s="254"/>
      <c r="F16" s="254"/>
    </row>
    <row r="17" spans="1:10" x14ac:dyDescent="0.25">
      <c r="F17" s="30" t="s">
        <v>39</v>
      </c>
    </row>
    <row r="18" spans="1:10" s="36" customFormat="1" ht="48" customHeight="1" x14ac:dyDescent="0.25">
      <c r="A18" s="56"/>
      <c r="B18" s="32" t="s">
        <v>0</v>
      </c>
      <c r="C18" s="32" t="s">
        <v>314</v>
      </c>
      <c r="D18" s="103" t="s">
        <v>666</v>
      </c>
      <c r="E18" s="148" t="s">
        <v>687</v>
      </c>
      <c r="F18" s="148" t="s">
        <v>876</v>
      </c>
      <c r="G18" s="260" t="s">
        <v>575</v>
      </c>
      <c r="H18" s="261"/>
      <c r="I18" s="261"/>
    </row>
    <row r="19" spans="1:10" s="33" customFormat="1" ht="51" customHeight="1" x14ac:dyDescent="0.2">
      <c r="A19" s="58">
        <v>1</v>
      </c>
      <c r="B19" s="255" t="s">
        <v>573</v>
      </c>
      <c r="C19" s="256"/>
      <c r="D19" s="127">
        <f>'Цст.+Видр'!D22</f>
        <v>5279.5</v>
      </c>
      <c r="E19" s="127">
        <f>'Цст.+Видр'!E22</f>
        <v>5464.7</v>
      </c>
      <c r="F19" s="127">
        <f>'Цст.+Видр'!F22</f>
        <v>5657.3</v>
      </c>
      <c r="G19" s="114">
        <f>D19-D20</f>
        <v>0</v>
      </c>
      <c r="H19" s="114">
        <f t="shared" ref="H19:I19" si="0">E19-E20</f>
        <v>0</v>
      </c>
      <c r="I19" s="114">
        <f t="shared" si="0"/>
        <v>0</v>
      </c>
    </row>
    <row r="20" spans="1:10" ht="30" customHeight="1" x14ac:dyDescent="0.2">
      <c r="A20" s="46"/>
      <c r="B20" s="45" t="s">
        <v>55</v>
      </c>
      <c r="C20" s="34" t="s">
        <v>67</v>
      </c>
      <c r="D20" s="128">
        <f>'ведомств. стр. 2025-2027'!G597</f>
        <v>5279.5</v>
      </c>
      <c r="E20" s="128">
        <f>'ведомств. стр. 2025-2027'!H597</f>
        <v>5464.7</v>
      </c>
      <c r="F20" s="128">
        <f>'ведомств. стр. 2025-2027'!I597</f>
        <v>5657.3</v>
      </c>
      <c r="G20" s="114"/>
      <c r="H20" s="114"/>
      <c r="I20" s="114"/>
    </row>
    <row r="21" spans="1:10" s="33" customFormat="1" ht="33" customHeight="1" x14ac:dyDescent="0.2">
      <c r="A21" s="58">
        <v>2</v>
      </c>
      <c r="B21" s="255" t="s">
        <v>574</v>
      </c>
      <c r="C21" s="256"/>
      <c r="D21" s="127">
        <f>'Цст.+Видр'!D32</f>
        <v>102777.5</v>
      </c>
      <c r="E21" s="127">
        <f>'Цст.+Видр'!E32</f>
        <v>50000</v>
      </c>
      <c r="F21" s="127">
        <f>'Цст.+Видр'!F32</f>
        <v>32968.6</v>
      </c>
      <c r="G21" s="114">
        <f>D21-D22</f>
        <v>0</v>
      </c>
      <c r="H21" s="114">
        <f t="shared" ref="H21" si="1">E21-E22</f>
        <v>0</v>
      </c>
      <c r="I21" s="114">
        <f t="shared" ref="I21" si="2">F21-F22</f>
        <v>0</v>
      </c>
    </row>
    <row r="22" spans="1:10" x14ac:dyDescent="0.2">
      <c r="A22" s="46"/>
      <c r="B22" s="60" t="s">
        <v>68</v>
      </c>
      <c r="C22" s="59" t="s">
        <v>69</v>
      </c>
      <c r="D22" s="129">
        <f>'ведомств. стр. 2025-2027'!G707</f>
        <v>102777.5</v>
      </c>
      <c r="E22" s="129">
        <f>'ведомств. стр. 2025-2027'!H707</f>
        <v>50000</v>
      </c>
      <c r="F22" s="129">
        <f>'ведомств. стр. 2025-2027'!I707</f>
        <v>32968.6</v>
      </c>
      <c r="G22" s="114"/>
      <c r="H22" s="114"/>
      <c r="I22" s="114"/>
    </row>
    <row r="23" spans="1:10" s="33" customFormat="1" ht="33" customHeight="1" x14ac:dyDescent="0.2">
      <c r="A23" s="58">
        <v>3</v>
      </c>
      <c r="B23" s="255" t="s">
        <v>576</v>
      </c>
      <c r="C23" s="256"/>
      <c r="D23" s="127">
        <f>'Цст.+Видр'!D40</f>
        <v>24523.200000000001</v>
      </c>
      <c r="E23" s="127">
        <f>'Цст.+Видр'!E40</f>
        <v>15641.3</v>
      </c>
      <c r="F23" s="127">
        <f>'Цст.+Видр'!F40</f>
        <v>21641.199999999997</v>
      </c>
      <c r="G23" s="114">
        <f>D23-D24-D25-D26-D27-D28-D29-D30-D31</f>
        <v>2.1600499167107046E-12</v>
      </c>
      <c r="H23" s="114">
        <f t="shared" ref="H23:I23" si="3">E23-E24-E25-E26-E27-E28-E29-E30-E31</f>
        <v>3.694822225952521E-13</v>
      </c>
      <c r="I23" s="114">
        <f t="shared" si="3"/>
        <v>-3.2684965844964609E-12</v>
      </c>
      <c r="J23" s="114"/>
    </row>
    <row r="24" spans="1:10" s="33" customFormat="1" ht="33" customHeight="1" x14ac:dyDescent="0.2">
      <c r="A24" s="46"/>
      <c r="B24" s="45" t="s">
        <v>667</v>
      </c>
      <c r="C24" s="34" t="s">
        <v>78</v>
      </c>
      <c r="D24" s="129">
        <f>'ведомств. стр. 2025-2027'!G23</f>
        <v>177.6</v>
      </c>
      <c r="E24" s="129">
        <f>'ведомств. стр. 2025-2027'!H23</f>
        <v>0</v>
      </c>
      <c r="F24" s="129">
        <f>'ведомств. стр. 2025-2027'!I23</f>
        <v>0</v>
      </c>
      <c r="G24" s="114"/>
      <c r="H24" s="114"/>
      <c r="I24" s="114"/>
    </row>
    <row r="25" spans="1:10" s="33" customFormat="1" ht="33" customHeight="1" x14ac:dyDescent="0.2">
      <c r="A25" s="46"/>
      <c r="B25" s="45" t="s">
        <v>612</v>
      </c>
      <c r="C25" s="34" t="s">
        <v>72</v>
      </c>
      <c r="D25" s="129">
        <f>'ведомств. стр. 2025-2027'!G66+'ведомств. стр. 2025-2027'!G251</f>
        <v>2476.3000000000002</v>
      </c>
      <c r="E25" s="129">
        <f>'ведомств. стр. 2025-2027'!H66+'ведомств. стр. 2025-2027'!H251</f>
        <v>0</v>
      </c>
      <c r="F25" s="129">
        <f>'ведомств. стр. 2025-2027'!I66+'ведомств. стр. 2025-2027'!I251</f>
        <v>0</v>
      </c>
      <c r="G25" s="114"/>
      <c r="H25" s="114"/>
      <c r="I25" s="114"/>
    </row>
    <row r="26" spans="1:10" s="33" customFormat="1" ht="33" customHeight="1" x14ac:dyDescent="0.2">
      <c r="A26" s="46"/>
      <c r="B26" s="45" t="s">
        <v>17</v>
      </c>
      <c r="C26" s="34" t="s">
        <v>74</v>
      </c>
      <c r="D26" s="129">
        <f>'ведомств. стр. 2025-2027'!G321+'ведомств. стр. 2025-2027'!G394</f>
        <v>150</v>
      </c>
      <c r="E26" s="129">
        <f>'ведомств. стр. 2025-2027'!H321+'ведомств. стр. 2025-2027'!H394</f>
        <v>150</v>
      </c>
      <c r="F26" s="129">
        <f>'ведомств. стр. 2025-2027'!I321+'ведомств. стр. 2025-2027'!I394</f>
        <v>2649.9</v>
      </c>
      <c r="G26" s="114"/>
      <c r="H26" s="114"/>
      <c r="I26" s="114"/>
    </row>
    <row r="27" spans="1:10" s="33" customFormat="1" ht="33" customHeight="1" x14ac:dyDescent="0.2">
      <c r="A27" s="46"/>
      <c r="B27" s="45" t="s">
        <v>11</v>
      </c>
      <c r="C27" s="34" t="s">
        <v>75</v>
      </c>
      <c r="D27" s="129">
        <f>'ведомств. стр. 2025-2027'!G456</f>
        <v>143</v>
      </c>
      <c r="E27" s="129">
        <f>'ведомств. стр. 2025-2027'!H456</f>
        <v>143</v>
      </c>
      <c r="F27" s="129">
        <f>'ведомств. стр. 2025-2027'!I456</f>
        <v>143</v>
      </c>
      <c r="G27" s="114"/>
      <c r="H27" s="114"/>
      <c r="I27" s="114"/>
    </row>
    <row r="28" spans="1:10" s="33" customFormat="1" ht="33" customHeight="1" x14ac:dyDescent="0.2">
      <c r="A28" s="46"/>
      <c r="B28" s="45" t="s">
        <v>614</v>
      </c>
      <c r="C28" s="34" t="s">
        <v>70</v>
      </c>
      <c r="D28" s="129">
        <f>'ведомств. стр. 2025-2027'!G472</f>
        <v>321</v>
      </c>
      <c r="E28" s="129">
        <f>'ведомств. стр. 2025-2027'!H472</f>
        <v>321</v>
      </c>
      <c r="F28" s="129">
        <f>'ведомств. стр. 2025-2027'!I472</f>
        <v>321</v>
      </c>
      <c r="G28" s="114"/>
      <c r="H28" s="114"/>
      <c r="I28" s="114"/>
    </row>
    <row r="29" spans="1:10" ht="30" x14ac:dyDescent="0.2">
      <c r="A29" s="168"/>
      <c r="B29" s="45" t="s">
        <v>20</v>
      </c>
      <c r="C29" s="34" t="s">
        <v>77</v>
      </c>
      <c r="D29" s="128">
        <f>'ведомств. стр. 2025-2027'!G524</f>
        <v>2068.8000000000002</v>
      </c>
      <c r="E29" s="128">
        <f>'ведомств. стр. 2025-2027'!H524</f>
        <v>2068.8000000000002</v>
      </c>
      <c r="F29" s="128">
        <f>'ведомств. стр. 2025-2027'!I524</f>
        <v>2068.8000000000002</v>
      </c>
      <c r="G29" s="169"/>
      <c r="H29" s="169"/>
      <c r="I29" s="169"/>
    </row>
    <row r="30" spans="1:10" x14ac:dyDescent="0.2">
      <c r="A30" s="46"/>
      <c r="B30" s="45" t="s">
        <v>68</v>
      </c>
      <c r="C30" s="34" t="s">
        <v>69</v>
      </c>
      <c r="D30" s="128">
        <f>'ведомств. стр. 2025-2027'!G618</f>
        <v>18472.900000000001</v>
      </c>
      <c r="E30" s="128">
        <f>'ведомств. стр. 2025-2027'!H618</f>
        <v>12872.9</v>
      </c>
      <c r="F30" s="128">
        <f>'ведомств. стр. 2025-2027'!I618</f>
        <v>16372.9</v>
      </c>
      <c r="G30" s="114"/>
      <c r="H30" s="114"/>
      <c r="I30" s="114"/>
    </row>
    <row r="31" spans="1:10" ht="30" x14ac:dyDescent="0.2">
      <c r="A31" s="46"/>
      <c r="B31" s="45" t="s">
        <v>96</v>
      </c>
      <c r="C31" s="34" t="s">
        <v>76</v>
      </c>
      <c r="D31" s="128">
        <f>'ведомств. стр. 2025-2027'!G980</f>
        <v>713.6</v>
      </c>
      <c r="E31" s="128">
        <f>'ведомств. стр. 2025-2027'!H980</f>
        <v>85.6</v>
      </c>
      <c r="F31" s="128">
        <f>'ведомств. стр. 2025-2027'!I980</f>
        <v>85.6</v>
      </c>
      <c r="G31" s="114"/>
      <c r="H31" s="114"/>
      <c r="I31" s="114"/>
    </row>
    <row r="32" spans="1:10" ht="32.25" customHeight="1" x14ac:dyDescent="0.2">
      <c r="A32" s="58">
        <v>4</v>
      </c>
      <c r="B32" s="255" t="s">
        <v>577</v>
      </c>
      <c r="C32" s="256"/>
      <c r="D32" s="130">
        <f>'Цст.+Видр'!D63</f>
        <v>3565997.5000000005</v>
      </c>
      <c r="E32" s="130">
        <f>'Цст.+Видр'!E63</f>
        <v>3267364.3</v>
      </c>
      <c r="F32" s="130">
        <f>'Цст.+Видр'!F63</f>
        <v>3366384.6999999997</v>
      </c>
      <c r="G32" s="114">
        <f>D32-D33</f>
        <v>0</v>
      </c>
      <c r="H32" s="114">
        <f t="shared" ref="H32:I32" si="4">E32-E33</f>
        <v>0</v>
      </c>
      <c r="I32" s="114">
        <f t="shared" si="4"/>
        <v>0</v>
      </c>
    </row>
    <row r="33" spans="1:9" ht="30.75" customHeight="1" x14ac:dyDescent="0.2">
      <c r="A33" s="46"/>
      <c r="B33" s="45" t="s">
        <v>613</v>
      </c>
      <c r="C33" s="34" t="s">
        <v>72</v>
      </c>
      <c r="D33" s="128">
        <f>'ведомств. стр. 2025-2027'!G70+'ведомств. стр. 2025-2027'!G126+'ведомств. стр. 2025-2027'!G216+'ведомств. стр. 2025-2027'!G255</f>
        <v>3565997.5000000005</v>
      </c>
      <c r="E33" s="128">
        <f>'ведомств. стр. 2025-2027'!H70+'ведомств. стр. 2025-2027'!H126+'ведомств. стр. 2025-2027'!H216+'ведомств. стр. 2025-2027'!H255</f>
        <v>3267364.3</v>
      </c>
      <c r="F33" s="128">
        <f>'ведомств. стр. 2025-2027'!I70+'ведомств. стр. 2025-2027'!I126+'ведомств. стр. 2025-2027'!I216+'ведомств. стр. 2025-2027'!I255</f>
        <v>3366384.6999999997</v>
      </c>
    </row>
    <row r="34" spans="1:9" s="33" customFormat="1" ht="46.5" customHeight="1" x14ac:dyDescent="0.2">
      <c r="A34" s="58">
        <v>5</v>
      </c>
      <c r="B34" s="257" t="s">
        <v>578</v>
      </c>
      <c r="C34" s="258"/>
      <c r="D34" s="127">
        <f>'Цст.+Видр'!D252</f>
        <v>58591</v>
      </c>
      <c r="E34" s="127">
        <f>'Цст.+Видр'!E252</f>
        <v>58591</v>
      </c>
      <c r="F34" s="127">
        <f>'Цст.+Видр'!F252</f>
        <v>58591</v>
      </c>
      <c r="G34" s="114">
        <f>D34-D35</f>
        <v>0</v>
      </c>
      <c r="H34" s="114">
        <f t="shared" ref="H34" si="5">E34-E35</f>
        <v>0</v>
      </c>
      <c r="I34" s="114">
        <f t="shared" ref="I34" si="6">F34-F35</f>
        <v>0</v>
      </c>
    </row>
    <row r="35" spans="1:9" s="33" customFormat="1" x14ac:dyDescent="0.2">
      <c r="A35" s="46"/>
      <c r="B35" s="45" t="s">
        <v>71</v>
      </c>
      <c r="C35" s="34" t="s">
        <v>69</v>
      </c>
      <c r="D35" s="129">
        <f>'ведомств. стр. 2025-2027'!G654</f>
        <v>58591</v>
      </c>
      <c r="E35" s="129">
        <f>'ведомств. стр. 2025-2027'!H654</f>
        <v>58591</v>
      </c>
      <c r="F35" s="129">
        <f>'ведомств. стр. 2025-2027'!I654</f>
        <v>58591</v>
      </c>
    </row>
    <row r="36" spans="1:9" s="33" customFormat="1" ht="27.75" customHeight="1" x14ac:dyDescent="0.2">
      <c r="A36" s="58">
        <v>6</v>
      </c>
      <c r="B36" s="255" t="s">
        <v>579</v>
      </c>
      <c r="C36" s="256"/>
      <c r="D36" s="130">
        <f>'Цст.+Видр'!D256</f>
        <v>259346.10000000003</v>
      </c>
      <c r="E36" s="130">
        <f>'Цст.+Видр'!E256</f>
        <v>262684.5</v>
      </c>
      <c r="F36" s="130">
        <f>'Цст.+Видр'!F256</f>
        <v>278668.59999999998</v>
      </c>
      <c r="G36" s="114">
        <f>D36-D37-D38-D39</f>
        <v>0</v>
      </c>
      <c r="H36" s="114">
        <f t="shared" ref="H36:I36" si="7">E36-E37-E38-E39</f>
        <v>0</v>
      </c>
      <c r="I36" s="114">
        <f t="shared" si="7"/>
        <v>0</v>
      </c>
    </row>
    <row r="37" spans="1:9" s="33" customFormat="1" x14ac:dyDescent="0.2">
      <c r="A37" s="46"/>
      <c r="B37" s="45" t="s">
        <v>73</v>
      </c>
      <c r="C37" s="34" t="s">
        <v>74</v>
      </c>
      <c r="D37" s="128">
        <f>'ведомств. стр. 2025-2027'!G325+'ведомств. стр. 2025-2027'!G398</f>
        <v>249131.10000000003</v>
      </c>
      <c r="E37" s="128">
        <f>'ведомств. стр. 2025-2027'!H325+'ведомств. стр. 2025-2027'!H398</f>
        <v>262434.5</v>
      </c>
      <c r="F37" s="128">
        <f>'ведомств. стр. 2025-2027'!I325+'ведомств. стр. 2025-2027'!I398</f>
        <v>278418.59999999998</v>
      </c>
    </row>
    <row r="38" spans="1:9" s="33" customFormat="1" x14ac:dyDescent="0.2">
      <c r="A38" s="46"/>
      <c r="B38" s="45" t="s">
        <v>71</v>
      </c>
      <c r="C38" s="34" t="s">
        <v>69</v>
      </c>
      <c r="D38" s="128">
        <f>'ведомств. стр. 2025-2027'!G773</f>
        <v>6250</v>
      </c>
      <c r="E38" s="128">
        <f>'ведомств. стр. 2025-2027'!H773</f>
        <v>250</v>
      </c>
      <c r="F38" s="128">
        <f>'ведомств. стр. 2025-2027'!I773</f>
        <v>250</v>
      </c>
    </row>
    <row r="39" spans="1:9" s="33" customFormat="1" ht="30" x14ac:dyDescent="0.2">
      <c r="A39" s="46"/>
      <c r="B39" s="45" t="s">
        <v>96</v>
      </c>
      <c r="C39" s="115" t="s">
        <v>76</v>
      </c>
      <c r="D39" s="128">
        <f>'ведомств. стр. 2025-2027'!G919</f>
        <v>3965</v>
      </c>
      <c r="E39" s="128">
        <f>'ведомств. стр. 2025-2027'!H919</f>
        <v>0</v>
      </c>
      <c r="F39" s="128">
        <f>'ведомств. стр. 2025-2027'!I919</f>
        <v>0</v>
      </c>
    </row>
    <row r="40" spans="1:9" s="33" customFormat="1" ht="14.25" x14ac:dyDescent="0.2">
      <c r="A40" s="58">
        <v>7</v>
      </c>
      <c r="B40" s="255" t="s">
        <v>580</v>
      </c>
      <c r="C40" s="256"/>
      <c r="D40" s="130">
        <f>'Цст.+Видр'!D330</f>
        <v>9339.9</v>
      </c>
      <c r="E40" s="130">
        <f>'Цст.+Видр'!E330</f>
        <v>9296</v>
      </c>
      <c r="F40" s="130">
        <f>'Цст.+Видр'!F330</f>
        <v>9575.0999999999985</v>
      </c>
      <c r="G40" s="114">
        <f>D40-D41</f>
        <v>0</v>
      </c>
      <c r="H40" s="114">
        <f t="shared" ref="H40:I40" si="8">E40-E41</f>
        <v>0</v>
      </c>
      <c r="I40" s="114">
        <f t="shared" si="8"/>
        <v>0</v>
      </c>
    </row>
    <row r="41" spans="1:9" s="33" customFormat="1" x14ac:dyDescent="0.2">
      <c r="A41" s="46"/>
      <c r="B41" s="45" t="s">
        <v>71</v>
      </c>
      <c r="C41" s="34" t="s">
        <v>69</v>
      </c>
      <c r="D41" s="128">
        <f>'ведомств. стр. 2025-2027'!G739</f>
        <v>9339.9</v>
      </c>
      <c r="E41" s="128">
        <f>'ведомств. стр. 2025-2027'!H739</f>
        <v>9296</v>
      </c>
      <c r="F41" s="128">
        <f>'ведомств. стр. 2025-2027'!I739</f>
        <v>9575.0999999999985</v>
      </c>
    </row>
    <row r="42" spans="1:9" s="33" customFormat="1" ht="46.5" customHeight="1" x14ac:dyDescent="0.2">
      <c r="A42" s="58">
        <v>8</v>
      </c>
      <c r="B42" s="257" t="s">
        <v>582</v>
      </c>
      <c r="C42" s="258"/>
      <c r="D42" s="127">
        <f>'Цст.+Видр'!D357</f>
        <v>350</v>
      </c>
      <c r="E42" s="127">
        <f>'Цст.+Видр'!E357</f>
        <v>350</v>
      </c>
      <c r="F42" s="127">
        <f>'Цст.+Видр'!F357</f>
        <v>350</v>
      </c>
      <c r="G42" s="114">
        <f>D42-D43</f>
        <v>0</v>
      </c>
      <c r="H42" s="114">
        <f t="shared" ref="H42" si="9">E42-E43</f>
        <v>0</v>
      </c>
      <c r="I42" s="114">
        <f t="shared" ref="I42" si="10">F42-F43</f>
        <v>0</v>
      </c>
    </row>
    <row r="43" spans="1:9" s="33" customFormat="1" x14ac:dyDescent="0.2">
      <c r="A43" s="46"/>
      <c r="B43" s="45" t="s">
        <v>71</v>
      </c>
      <c r="C43" s="34" t="s">
        <v>69</v>
      </c>
      <c r="D43" s="129">
        <f>'ведомств. стр. 2025-2027'!G658</f>
        <v>350</v>
      </c>
      <c r="E43" s="129">
        <f>'ведомств. стр. 2025-2027'!H658</f>
        <v>350</v>
      </c>
      <c r="F43" s="129">
        <f>'ведомств. стр. 2025-2027'!I658</f>
        <v>350</v>
      </c>
    </row>
    <row r="44" spans="1:9" s="33" customFormat="1" ht="14.25" x14ac:dyDescent="0.2">
      <c r="A44" s="58">
        <v>9</v>
      </c>
      <c r="B44" s="255" t="s">
        <v>581</v>
      </c>
      <c r="C44" s="256"/>
      <c r="D44" s="130">
        <f>'Цст.+Видр'!D368</f>
        <v>38247.399999999994</v>
      </c>
      <c r="E44" s="130">
        <f>'Цст.+Видр'!E368</f>
        <v>135016.29999999999</v>
      </c>
      <c r="F44" s="130">
        <f>'Цст.+Видр'!F368</f>
        <v>199620.3</v>
      </c>
      <c r="G44" s="114">
        <f>D44-D45</f>
        <v>0</v>
      </c>
      <c r="H44" s="114">
        <f t="shared" ref="H44:I44" si="11">E44-E45</f>
        <v>0</v>
      </c>
      <c r="I44" s="114">
        <f t="shared" si="11"/>
        <v>0</v>
      </c>
    </row>
    <row r="45" spans="1:9" s="33" customFormat="1" ht="30" x14ac:dyDescent="0.2">
      <c r="A45" s="46"/>
      <c r="B45" s="45" t="s">
        <v>720</v>
      </c>
      <c r="C45" s="34" t="s">
        <v>78</v>
      </c>
      <c r="D45" s="128">
        <f>'ведомств. стр. 2025-2027'!G27+'ведомств. стр. 2025-2027'!G58</f>
        <v>38247.399999999994</v>
      </c>
      <c r="E45" s="128">
        <f>'ведомств. стр. 2025-2027'!H27+'ведомств. стр. 2025-2027'!H58</f>
        <v>135016.29999999999</v>
      </c>
      <c r="F45" s="128">
        <f>'ведомств. стр. 2025-2027'!I27+'ведомств. стр. 2025-2027'!I58</f>
        <v>199620.3</v>
      </c>
    </row>
    <row r="46" spans="1:9" s="33" customFormat="1" ht="35.25" customHeight="1" x14ac:dyDescent="0.2">
      <c r="A46" s="58">
        <v>10</v>
      </c>
      <c r="B46" s="255" t="s">
        <v>583</v>
      </c>
      <c r="C46" s="256"/>
      <c r="D46" s="130">
        <f>'Цст.+Видр'!D379</f>
        <v>9766.5</v>
      </c>
      <c r="E46" s="130">
        <f>'Цст.+Видр'!E379</f>
        <v>9942</v>
      </c>
      <c r="F46" s="130">
        <f>'Цст.+Видр'!F379</f>
        <v>10154</v>
      </c>
      <c r="G46" s="114">
        <f>D46-D47</f>
        <v>0</v>
      </c>
      <c r="H46" s="114">
        <f t="shared" ref="H46:I46" si="12">E46-E47</f>
        <v>0</v>
      </c>
      <c r="I46" s="114">
        <f t="shared" si="12"/>
        <v>0</v>
      </c>
    </row>
    <row r="47" spans="1:9" s="33" customFormat="1" x14ac:dyDescent="0.2">
      <c r="A47" s="47"/>
      <c r="B47" s="45" t="s">
        <v>71</v>
      </c>
      <c r="C47" s="34" t="s">
        <v>69</v>
      </c>
      <c r="D47" s="129">
        <f>'ведомств. стр. 2025-2027'!G825</f>
        <v>9766.5</v>
      </c>
      <c r="E47" s="129">
        <f>'ведомств. стр. 2025-2027'!H825</f>
        <v>9942</v>
      </c>
      <c r="F47" s="129">
        <f>'ведомств. стр. 2025-2027'!I825</f>
        <v>10154</v>
      </c>
    </row>
    <row r="48" spans="1:9" ht="32.25" customHeight="1" x14ac:dyDescent="0.2">
      <c r="A48" s="58">
        <v>11</v>
      </c>
      <c r="B48" s="255" t="s">
        <v>584</v>
      </c>
      <c r="C48" s="256"/>
      <c r="D48" s="130">
        <f>'Цст.+Видр'!D390</f>
        <v>1087485.0000000002</v>
      </c>
      <c r="E48" s="130">
        <f>'Цст.+Видр'!E390</f>
        <v>811919.3</v>
      </c>
      <c r="F48" s="130">
        <f>'Цст.+Видр'!F390</f>
        <v>908392.6</v>
      </c>
      <c r="G48" s="114">
        <f>D48-D49</f>
        <v>0</v>
      </c>
      <c r="H48" s="114">
        <f t="shared" ref="H48:I48" si="13">E48-E49</f>
        <v>0</v>
      </c>
      <c r="I48" s="114">
        <f t="shared" si="13"/>
        <v>0</v>
      </c>
    </row>
    <row r="49" spans="1:9" ht="30.75" customHeight="1" x14ac:dyDescent="0.2">
      <c r="A49" s="46"/>
      <c r="B49" s="45" t="s">
        <v>96</v>
      </c>
      <c r="C49" s="34" t="s">
        <v>76</v>
      </c>
      <c r="D49" s="128">
        <f>'ведомств. стр. 2025-2027'!G863+'ведомств. стр. 2025-2027'!G890+'ведомств. стр. 2025-2027'!G925+'ведомств. стр. 2025-2027'!G986</f>
        <v>1087485.0000000002</v>
      </c>
      <c r="E49" s="128">
        <f>'ведомств. стр. 2025-2027'!H863+'ведомств. стр. 2025-2027'!H890+'ведомств. стр. 2025-2027'!H925+'ведомств. стр. 2025-2027'!H986</f>
        <v>811919.3</v>
      </c>
      <c r="F49" s="128">
        <f>'ведомств. стр. 2025-2027'!I863+'ведомств. стр. 2025-2027'!I890+'ведомств. стр. 2025-2027'!I925+'ведомств. стр. 2025-2027'!I986</f>
        <v>908392.6</v>
      </c>
    </row>
    <row r="50" spans="1:9" s="33" customFormat="1" ht="37.5" customHeight="1" x14ac:dyDescent="0.2">
      <c r="A50" s="58">
        <v>12</v>
      </c>
      <c r="B50" s="255" t="s">
        <v>585</v>
      </c>
      <c r="C50" s="256"/>
      <c r="D50" s="130">
        <f>'Цст.+Видр'!D482</f>
        <v>52670.5</v>
      </c>
      <c r="E50" s="130">
        <f>'Цст.+Видр'!E482</f>
        <v>54702.600000000006</v>
      </c>
      <c r="F50" s="130">
        <f>'Цст.+Видр'!F482</f>
        <v>56455.200000000004</v>
      </c>
      <c r="G50" s="114">
        <f>D50-D51</f>
        <v>0</v>
      </c>
      <c r="H50" s="114">
        <f t="shared" ref="H50:I50" si="14">E50-E51</f>
        <v>0</v>
      </c>
      <c r="I50" s="114">
        <f t="shared" si="14"/>
        <v>0</v>
      </c>
    </row>
    <row r="51" spans="1:9" s="33" customFormat="1" ht="30" x14ac:dyDescent="0.2">
      <c r="A51" s="46"/>
      <c r="B51" s="45" t="s">
        <v>20</v>
      </c>
      <c r="C51" s="34" t="s">
        <v>77</v>
      </c>
      <c r="D51" s="128">
        <f>'ведомств. стр. 2025-2027'!G530+'ведомств. стр. 2025-2027'!G554</f>
        <v>52670.5</v>
      </c>
      <c r="E51" s="128">
        <f>'ведомств. стр. 2025-2027'!H530+'ведомств. стр. 2025-2027'!H554</f>
        <v>54702.600000000006</v>
      </c>
      <c r="F51" s="128">
        <f>'ведомств. стр. 2025-2027'!I530+'ведомств. стр. 2025-2027'!I554</f>
        <v>56455.200000000004</v>
      </c>
    </row>
    <row r="52" spans="1:9" s="33" customFormat="1" ht="35.25" customHeight="1" x14ac:dyDescent="0.2">
      <c r="A52" s="58">
        <v>13</v>
      </c>
      <c r="B52" s="255" t="s">
        <v>586</v>
      </c>
      <c r="C52" s="256"/>
      <c r="D52" s="130">
        <f>'Цст.+Видр'!D499</f>
        <v>703551.9</v>
      </c>
      <c r="E52" s="130">
        <f>'Цст.+Видр'!E499</f>
        <v>111655.5</v>
      </c>
      <c r="F52" s="130">
        <f>'Цст.+Видр'!F499</f>
        <v>78721.899999999994</v>
      </c>
      <c r="G52" s="114">
        <f>D52-D53</f>
        <v>0</v>
      </c>
      <c r="H52" s="114">
        <f t="shared" ref="H52" si="15">E52-E53</f>
        <v>0</v>
      </c>
      <c r="I52" s="114">
        <f t="shared" ref="I52" si="16">F52-F53</f>
        <v>0</v>
      </c>
    </row>
    <row r="53" spans="1:9" s="33" customFormat="1" ht="30" x14ac:dyDescent="0.2">
      <c r="A53" s="47"/>
      <c r="B53" s="45" t="s">
        <v>96</v>
      </c>
      <c r="C53" s="34" t="s">
        <v>76</v>
      </c>
      <c r="D53" s="129">
        <f>'ведомств. стр. 2025-2027'!G960</f>
        <v>703551.9</v>
      </c>
      <c r="E53" s="129">
        <f>'ведомств. стр. 2025-2027'!H960</f>
        <v>111655.5</v>
      </c>
      <c r="F53" s="129">
        <f>'ведомств. стр. 2025-2027'!I960</f>
        <v>78721.899999999994</v>
      </c>
    </row>
    <row r="54" spans="1:9" s="33" customFormat="1" ht="37.5" customHeight="1" x14ac:dyDescent="0.2">
      <c r="A54" s="58">
        <v>14</v>
      </c>
      <c r="B54" s="255" t="s">
        <v>587</v>
      </c>
      <c r="C54" s="256"/>
      <c r="D54" s="130">
        <f>'Цст.+Видр'!D515</f>
        <v>1042.2</v>
      </c>
      <c r="E54" s="130">
        <f>'Цст.+Видр'!E515</f>
        <v>905.2</v>
      </c>
      <c r="F54" s="130">
        <f>'Цст.+Видр'!F515</f>
        <v>905.2</v>
      </c>
      <c r="G54" s="114">
        <f>D54-D55</f>
        <v>0</v>
      </c>
      <c r="H54" s="114">
        <f t="shared" ref="H54:I54" si="17">E54-E55</f>
        <v>0</v>
      </c>
      <c r="I54" s="114">
        <f t="shared" si="17"/>
        <v>0</v>
      </c>
    </row>
    <row r="55" spans="1:9" s="33" customFormat="1" x14ac:dyDescent="0.2">
      <c r="A55" s="46"/>
      <c r="B55" s="45" t="s">
        <v>71</v>
      </c>
      <c r="C55" s="34" t="s">
        <v>69</v>
      </c>
      <c r="D55" s="128">
        <f>'ведомств. стр. 2025-2027'!G719</f>
        <v>1042.2</v>
      </c>
      <c r="E55" s="128">
        <f>'ведомств. стр. 2025-2027'!H719</f>
        <v>905.2</v>
      </c>
      <c r="F55" s="128">
        <f>'ведомств. стр. 2025-2027'!I719</f>
        <v>905.2</v>
      </c>
    </row>
    <row r="56" spans="1:9" ht="50.25" customHeight="1" x14ac:dyDescent="0.2">
      <c r="A56" s="58">
        <v>15</v>
      </c>
      <c r="B56" s="255" t="s">
        <v>588</v>
      </c>
      <c r="C56" s="256"/>
      <c r="D56" s="130">
        <f>'Цст.+Видр'!D533</f>
        <v>79774.8</v>
      </c>
      <c r="E56" s="130">
        <f>'Цст.+Видр'!E533</f>
        <v>51988.800000000003</v>
      </c>
      <c r="F56" s="130">
        <f>'Цст.+Видр'!F533</f>
        <v>52755.499999999993</v>
      </c>
      <c r="G56" s="114">
        <f>D56-D57-D58</f>
        <v>1.1624479157035239E-11</v>
      </c>
      <c r="H56" s="114">
        <f t="shared" ref="H56:I56" si="18">E56-E57-E58</f>
        <v>-2.9274360713316128E-12</v>
      </c>
      <c r="I56" s="114">
        <f t="shared" si="18"/>
        <v>-2.9274360713316128E-12</v>
      </c>
    </row>
    <row r="57" spans="1:9" ht="30.75" customHeight="1" x14ac:dyDescent="0.2">
      <c r="A57" s="46"/>
      <c r="B57" s="45" t="s">
        <v>614</v>
      </c>
      <c r="C57" s="34" t="s">
        <v>70</v>
      </c>
      <c r="D57" s="128">
        <f>'ведомств. стр. 2025-2027'!G476</f>
        <v>79640.599999999991</v>
      </c>
      <c r="E57" s="128">
        <f>'ведомств. стр. 2025-2027'!H476</f>
        <v>51854.600000000006</v>
      </c>
      <c r="F57" s="128">
        <f>'ведомств. стр. 2025-2027'!I476</f>
        <v>52621.299999999996</v>
      </c>
    </row>
    <row r="58" spans="1:9" x14ac:dyDescent="0.2">
      <c r="A58" s="46"/>
      <c r="B58" s="45" t="s">
        <v>71</v>
      </c>
      <c r="C58" s="34" t="s">
        <v>69</v>
      </c>
      <c r="D58" s="128">
        <f>'ведомств. стр. 2025-2027'!G669</f>
        <v>134.20000000000002</v>
      </c>
      <c r="E58" s="128">
        <f>'ведомств. стр. 2025-2027'!H669</f>
        <v>134.20000000000002</v>
      </c>
      <c r="F58" s="128">
        <f>'ведомств. стр. 2025-2027'!I669</f>
        <v>134.20000000000002</v>
      </c>
    </row>
    <row r="59" spans="1:9" s="33" customFormat="1" ht="37.5" customHeight="1" x14ac:dyDescent="0.2">
      <c r="A59" s="58">
        <v>16</v>
      </c>
      <c r="B59" s="255" t="s">
        <v>589</v>
      </c>
      <c r="C59" s="256"/>
      <c r="D59" s="130">
        <f>'Цст.+Видр'!D591</f>
        <v>107685</v>
      </c>
      <c r="E59" s="130">
        <f>'Цст.+Видр'!E591</f>
        <v>153740</v>
      </c>
      <c r="F59" s="130">
        <f>'Цст.+Видр'!F591</f>
        <v>184850</v>
      </c>
      <c r="G59" s="114">
        <f>D59-D60-D61</f>
        <v>0</v>
      </c>
      <c r="H59" s="114">
        <f>E59-E60-E61</f>
        <v>0</v>
      </c>
      <c r="I59" s="114">
        <f>F59-F60-F61</f>
        <v>0</v>
      </c>
    </row>
    <row r="60" spans="1:9" s="33" customFormat="1" x14ac:dyDescent="0.2">
      <c r="A60" s="46"/>
      <c r="B60" s="45" t="s">
        <v>71</v>
      </c>
      <c r="C60" s="34" t="s">
        <v>69</v>
      </c>
      <c r="D60" s="128">
        <f>'ведомств. стр. 2025-2027'!G788</f>
        <v>107635</v>
      </c>
      <c r="E60" s="128">
        <f>'ведомств. стр. 2025-2027'!H788</f>
        <v>153690</v>
      </c>
      <c r="F60" s="128">
        <f>'ведомств. стр. 2025-2027'!I788</f>
        <v>184800</v>
      </c>
    </row>
    <row r="61" spans="1:9" s="33" customFormat="1" x14ac:dyDescent="0.2">
      <c r="A61" s="46"/>
      <c r="B61" s="45" t="s">
        <v>73</v>
      </c>
      <c r="C61" s="115" t="s">
        <v>74</v>
      </c>
      <c r="D61" s="129">
        <f>'ведомств. стр. 2025-2027'!G385</f>
        <v>50</v>
      </c>
      <c r="E61" s="129">
        <f>'ведомств. стр. 2025-2027'!H385</f>
        <v>50</v>
      </c>
      <c r="F61" s="129">
        <f>'ведомств. стр. 2025-2027'!I385</f>
        <v>50</v>
      </c>
    </row>
    <row r="62" spans="1:9" s="33" customFormat="1" ht="37.5" customHeight="1" x14ac:dyDescent="0.2">
      <c r="A62" s="58">
        <v>17</v>
      </c>
      <c r="B62" s="255" t="s">
        <v>590</v>
      </c>
      <c r="C62" s="256"/>
      <c r="D62" s="130">
        <f>'Цст.+Видр'!D619</f>
        <v>221639.2</v>
      </c>
      <c r="E62" s="130">
        <f>'Цст.+Видр'!E619</f>
        <v>186808.7</v>
      </c>
      <c r="F62" s="130">
        <f>'Цст.+Видр'!F619</f>
        <v>150216.4</v>
      </c>
      <c r="G62" s="114">
        <f>D62-D63</f>
        <v>0</v>
      </c>
      <c r="H62" s="114">
        <f t="shared" ref="H62:I62" si="19">E62-E63</f>
        <v>0</v>
      </c>
      <c r="I62" s="114">
        <f t="shared" si="19"/>
        <v>0</v>
      </c>
    </row>
    <row r="63" spans="1:9" s="33" customFormat="1" ht="30" x14ac:dyDescent="0.2">
      <c r="A63" s="46"/>
      <c r="B63" s="45" t="s">
        <v>20</v>
      </c>
      <c r="C63" s="34" t="s">
        <v>77</v>
      </c>
      <c r="D63" s="128">
        <f>'ведомств. стр. 2025-2027'!G561+'ведомств. стр. 2025-2027'!G578+'ведомств. стр. 2025-2027'!G584</f>
        <v>221639.2</v>
      </c>
      <c r="E63" s="128">
        <f>'ведомств. стр. 2025-2027'!H561+'ведомств. стр. 2025-2027'!H578+'ведомств. стр. 2025-2027'!H584</f>
        <v>186808.7</v>
      </c>
      <c r="F63" s="128">
        <f>'ведомств. стр. 2025-2027'!I561+'ведомств. стр. 2025-2027'!I578+'ведомств. стр. 2025-2027'!I584</f>
        <v>150216.4</v>
      </c>
    </row>
    <row r="64" spans="1:9" s="33" customFormat="1" ht="46.5" customHeight="1" x14ac:dyDescent="0.2">
      <c r="A64" s="58">
        <v>18</v>
      </c>
      <c r="B64" s="255" t="s">
        <v>591</v>
      </c>
      <c r="C64" s="256"/>
      <c r="D64" s="130">
        <f>'Цст.+Видр'!D641</f>
        <v>102179.5</v>
      </c>
      <c r="E64" s="130">
        <f>'Цст.+Видр'!E641</f>
        <v>106284.8</v>
      </c>
      <c r="F64" s="130">
        <f>'Цст.+Видр'!F641</f>
        <v>110550.39999999999</v>
      </c>
      <c r="G64" s="114">
        <f>D64-D65</f>
        <v>0</v>
      </c>
      <c r="H64" s="114">
        <f>E64-E65</f>
        <v>0</v>
      </c>
      <c r="I64" s="114">
        <f t="shared" ref="I64" si="20">F64-F65</f>
        <v>0</v>
      </c>
    </row>
    <row r="65" spans="1:9" s="33" customFormat="1" ht="30" x14ac:dyDescent="0.2">
      <c r="A65" s="46"/>
      <c r="B65" s="45" t="s">
        <v>11</v>
      </c>
      <c r="C65" s="34" t="s">
        <v>75</v>
      </c>
      <c r="D65" s="128">
        <f>'ведомств. стр. 2025-2027'!G410+'ведомств. стр. 2025-2027'!G427+'ведомств. стр. 2025-2027'!G460</f>
        <v>102179.5</v>
      </c>
      <c r="E65" s="128">
        <f>'ведомств. стр. 2025-2027'!H410+'ведомств. стр. 2025-2027'!H427+'ведомств. стр. 2025-2027'!H460</f>
        <v>106284.8</v>
      </c>
      <c r="F65" s="128">
        <f>'ведомств. стр. 2025-2027'!I410+'ведомств. стр. 2025-2027'!I427+'ведомств. стр. 2025-2027'!I460</f>
        <v>110550.39999999999</v>
      </c>
    </row>
    <row r="66" spans="1:9" s="33" customFormat="1" ht="46.5" customHeight="1" x14ac:dyDescent="0.2">
      <c r="A66" s="58">
        <v>19</v>
      </c>
      <c r="B66" s="255" t="s">
        <v>847</v>
      </c>
      <c r="C66" s="256"/>
      <c r="D66" s="130">
        <f>'Цст.+Видр'!D678</f>
        <v>30</v>
      </c>
      <c r="E66" s="130">
        <f>'Цст.+Видр'!E678</f>
        <v>31.2</v>
      </c>
      <c r="F66" s="130">
        <f>'Цст.+Видр'!F678</f>
        <v>32.4</v>
      </c>
      <c r="G66" s="114">
        <f>D66-D67</f>
        <v>0</v>
      </c>
      <c r="H66" s="114">
        <f>E66-E67</f>
        <v>0</v>
      </c>
      <c r="I66" s="114">
        <f t="shared" ref="I66" si="21">F66-F67</f>
        <v>0</v>
      </c>
    </row>
    <row r="67" spans="1:9" s="33" customFormat="1" ht="30" x14ac:dyDescent="0.2">
      <c r="A67" s="46"/>
      <c r="B67" s="45" t="s">
        <v>11</v>
      </c>
      <c r="C67" s="34" t="s">
        <v>75</v>
      </c>
      <c r="D67" s="128">
        <f>'ведомств. стр. 2025-2027'!G445</f>
        <v>30</v>
      </c>
      <c r="E67" s="128">
        <f>'ведомств. стр. 2025-2027'!H445</f>
        <v>31.2</v>
      </c>
      <c r="F67" s="128">
        <f>'ведомств. стр. 2025-2027'!I445</f>
        <v>32.4</v>
      </c>
    </row>
    <row r="68" spans="1:9" s="33" customFormat="1" ht="14.25" x14ac:dyDescent="0.2">
      <c r="A68" s="57"/>
      <c r="B68" s="259" t="s">
        <v>79</v>
      </c>
      <c r="C68" s="259"/>
      <c r="D68" s="131">
        <f>D19+D21+D23+D32+D34+D36+D40+D42+D44+D46+D48+D50+D52+D54+D56+D59+D62+D64+D66</f>
        <v>6430276.7000000011</v>
      </c>
      <c r="E68" s="131">
        <f>E19+E21+E23+E32+E34+E36+E40+E42+E44+E46+E48+E50+E52+E54+E56+E59+E62+E64+E66</f>
        <v>5292386.1999999993</v>
      </c>
      <c r="F68" s="131">
        <f>F19+F21+F23+F32+F34+F36+F40+F42+F44+F46+F48+F50+F52+F54+F56+F59+F62+F64+F66</f>
        <v>5526490.4000000013</v>
      </c>
    </row>
    <row r="69" spans="1:9" s="33" customFormat="1" ht="14.25" x14ac:dyDescent="0.2">
      <c r="A69" s="150"/>
      <c r="B69" s="151"/>
      <c r="C69" s="151"/>
      <c r="D69" s="152"/>
      <c r="E69" s="152"/>
      <c r="F69" s="152"/>
    </row>
    <row r="70" spans="1:9" s="41" customFormat="1" x14ac:dyDescent="0.25">
      <c r="A70" s="37"/>
      <c r="B70" s="38"/>
      <c r="C70" s="39"/>
      <c r="D70" s="40"/>
      <c r="E70" s="40"/>
      <c r="F70" s="40"/>
    </row>
    <row r="71" spans="1:9" s="41" customFormat="1" x14ac:dyDescent="0.25">
      <c r="A71" s="37"/>
      <c r="B71" s="38"/>
      <c r="C71" s="39"/>
      <c r="D71" s="40"/>
      <c r="E71" s="40"/>
      <c r="F71" s="40"/>
    </row>
    <row r="72" spans="1:9" s="41" customFormat="1" x14ac:dyDescent="0.25">
      <c r="A72" s="37"/>
      <c r="B72" s="38"/>
      <c r="C72" s="39"/>
      <c r="D72" s="40"/>
      <c r="E72" s="40"/>
      <c r="F72" s="40"/>
    </row>
    <row r="73" spans="1:9" s="41" customFormat="1" x14ac:dyDescent="0.2">
      <c r="A73" s="37"/>
      <c r="B73" s="38"/>
      <c r="C73" s="219"/>
      <c r="D73" s="219"/>
      <c r="E73" s="219"/>
      <c r="F73" s="42"/>
    </row>
    <row r="74" spans="1:9" s="41" customFormat="1" x14ac:dyDescent="0.25">
      <c r="A74" s="37"/>
      <c r="B74" s="38"/>
      <c r="C74" s="39"/>
      <c r="D74" s="40"/>
      <c r="E74" s="40"/>
      <c r="F74" s="40"/>
    </row>
    <row r="75" spans="1:9" s="41" customFormat="1" x14ac:dyDescent="0.25">
      <c r="A75" s="37"/>
      <c r="B75" s="38"/>
      <c r="C75" s="39"/>
      <c r="D75" s="40"/>
      <c r="E75" s="40"/>
      <c r="F75" s="40"/>
    </row>
    <row r="76" spans="1:9" s="41" customFormat="1" x14ac:dyDescent="0.25">
      <c r="A76" s="37"/>
      <c r="B76" s="38"/>
      <c r="C76" s="39"/>
      <c r="D76" s="221"/>
      <c r="E76" s="221"/>
      <c r="F76" s="221"/>
    </row>
    <row r="77" spans="1:9" s="41" customFormat="1" x14ac:dyDescent="0.25">
      <c r="A77" s="37"/>
      <c r="B77" s="38"/>
      <c r="C77" s="39"/>
      <c r="D77" s="40"/>
      <c r="E77" s="40"/>
      <c r="F77" s="40"/>
    </row>
    <row r="78" spans="1:9" s="41" customFormat="1" x14ac:dyDescent="0.25">
      <c r="A78" s="37"/>
      <c r="B78" s="38"/>
      <c r="C78" s="39"/>
      <c r="D78" s="40"/>
      <c r="E78" s="40"/>
      <c r="F78" s="40"/>
    </row>
    <row r="79" spans="1:9" s="41" customFormat="1" x14ac:dyDescent="0.25">
      <c r="A79" s="37"/>
      <c r="B79" s="38"/>
      <c r="C79" s="39"/>
      <c r="D79" s="40"/>
      <c r="E79" s="40"/>
      <c r="F79" s="40"/>
    </row>
    <row r="80" spans="1:9" s="41" customFormat="1" x14ac:dyDescent="0.25">
      <c r="A80" s="37"/>
      <c r="B80" s="38"/>
      <c r="C80" s="39"/>
      <c r="D80" s="40"/>
      <c r="E80" s="40"/>
      <c r="F80" s="40"/>
    </row>
  </sheetData>
  <mergeCells count="22">
    <mergeCell ref="B42:C42"/>
    <mergeCell ref="B44:C44"/>
    <mergeCell ref="G18:I18"/>
    <mergeCell ref="B23:C23"/>
    <mergeCell ref="B32:C32"/>
    <mergeCell ref="B40:C40"/>
    <mergeCell ref="B68:C68"/>
    <mergeCell ref="B48:C48"/>
    <mergeCell ref="B56:C56"/>
    <mergeCell ref="B46:C46"/>
    <mergeCell ref="B59:C59"/>
    <mergeCell ref="B54:C54"/>
    <mergeCell ref="B50:C50"/>
    <mergeCell ref="B52:C52"/>
    <mergeCell ref="B62:C62"/>
    <mergeCell ref="B64:C64"/>
    <mergeCell ref="B66:C66"/>
    <mergeCell ref="A13:F16"/>
    <mergeCell ref="B36:C36"/>
    <mergeCell ref="B19:C19"/>
    <mergeCell ref="B21:C21"/>
    <mergeCell ref="B34:C34"/>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2025-2027</vt:lpstr>
      <vt:lpstr>Цст.+Видр</vt:lpstr>
      <vt:lpstr>Разд.+подраз</vt:lpstr>
      <vt:lpstr>муниц. программы</vt:lpstr>
      <vt:lpstr>'ведомств. стр. 2025-2027'!Заголовки_для_печати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2025-2027'!Область_печати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2024-12-25T06:33:53Z</cp:lastPrinted>
  <dcterms:created xsi:type="dcterms:W3CDTF">2007-05-22T11:35:20Z</dcterms:created>
  <dcterms:modified xsi:type="dcterms:W3CDTF">2025-06-10T13:52:16Z</dcterms:modified>
</cp:coreProperties>
</file>